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Sinead\Desktop\"/>
    </mc:Choice>
  </mc:AlternateContent>
  <bookViews>
    <workbookView xWindow="0" yWindow="0" windowWidth="18768" windowHeight="7416"/>
  </bookViews>
  <sheets>
    <sheet name="Tabelle" sheetId="1" r:id="rId1"/>
    <sheet name="Gruppen" sheetId="2" state="hidden" r:id="rId2"/>
    <sheet name="Ränge1" sheetId="3" state="hidden" r:id="rId3"/>
    <sheet name="Ränge2" sheetId="4" state="hidden" r:id="rId4"/>
  </sheets>
  <calcPr calcId="162913"/>
</workbook>
</file>

<file path=xl/calcChain.xml><?xml version="1.0" encoding="utf-8"?>
<calcChain xmlns="http://schemas.openxmlformats.org/spreadsheetml/2006/main">
  <c r="G13" i="3" l="1"/>
  <c r="G12" i="3"/>
  <c r="I15" i="2"/>
  <c r="G15" i="2"/>
  <c r="F13" i="4" l="1"/>
  <c r="E13" i="4"/>
  <c r="B13" i="4"/>
  <c r="C13" i="4"/>
  <c r="C15" i="2"/>
  <c r="F12" i="4"/>
  <c r="E12" i="4"/>
  <c r="C12" i="4"/>
  <c r="B12" i="4"/>
  <c r="I14" i="2"/>
  <c r="G14" i="2"/>
  <c r="C14" i="2"/>
  <c r="F11" i="4"/>
  <c r="E11" i="4"/>
  <c r="C11" i="4"/>
  <c r="B11" i="4"/>
  <c r="I13" i="2"/>
  <c r="G13" i="2"/>
  <c r="C13" i="2"/>
  <c r="F10" i="4"/>
  <c r="E10" i="4"/>
  <c r="C10" i="4"/>
  <c r="B10" i="4"/>
  <c r="I12" i="2"/>
  <c r="G12" i="2"/>
  <c r="C12" i="2"/>
  <c r="J40" i="1"/>
  <c r="F40" i="1"/>
  <c r="J46" i="1"/>
  <c r="F46" i="1"/>
  <c r="F7" i="4"/>
  <c r="C7" i="4"/>
  <c r="I9" i="2"/>
  <c r="G9" i="2"/>
  <c r="C9" i="2"/>
  <c r="F6" i="4"/>
  <c r="C6" i="4"/>
  <c r="I8" i="2"/>
  <c r="G8" i="2"/>
  <c r="C8" i="2"/>
  <c r="F5" i="4"/>
  <c r="C5" i="4"/>
  <c r="F4" i="4"/>
  <c r="D4" i="4"/>
  <c r="C4" i="4"/>
  <c r="I7" i="2"/>
  <c r="G7" i="2"/>
  <c r="C7" i="2"/>
  <c r="E14" i="3" l="1"/>
  <c r="E15" i="3"/>
  <c r="E13" i="3"/>
  <c r="E12" i="3"/>
  <c r="E6" i="3"/>
  <c r="E7" i="3"/>
  <c r="I6" i="2"/>
  <c r="G6" i="2"/>
  <c r="C6" i="2"/>
  <c r="G13" i="4" l="1"/>
  <c r="D13" i="4"/>
  <c r="G12" i="4"/>
  <c r="D12" i="4"/>
  <c r="G11" i="4"/>
  <c r="D11" i="4"/>
  <c r="G10" i="4"/>
  <c r="D10" i="4"/>
  <c r="Y8" i="4"/>
  <c r="G7" i="4"/>
  <c r="E7" i="4"/>
  <c r="D7" i="4"/>
  <c r="B7" i="4"/>
  <c r="G6" i="4"/>
  <c r="E6" i="4"/>
  <c r="D6" i="4"/>
  <c r="B6" i="4"/>
  <c r="G5" i="4"/>
  <c r="E5" i="4"/>
  <c r="D5" i="4"/>
  <c r="B5" i="4"/>
  <c r="G4" i="4"/>
  <c r="E4" i="4"/>
  <c r="B4" i="4"/>
  <c r="J17" i="3"/>
  <c r="I17" i="3"/>
  <c r="G17" i="3"/>
  <c r="J16" i="3"/>
  <c r="I16" i="3"/>
  <c r="G16" i="3"/>
  <c r="J15" i="3"/>
  <c r="I15" i="3"/>
  <c r="G15" i="3"/>
  <c r="J14" i="3"/>
  <c r="I14" i="3"/>
  <c r="G14" i="3"/>
  <c r="J13" i="3"/>
  <c r="I13" i="3"/>
  <c r="J12" i="3"/>
  <c r="I12" i="3"/>
  <c r="J9" i="3"/>
  <c r="I9" i="3"/>
  <c r="G9" i="3"/>
  <c r="J8" i="3"/>
  <c r="I8" i="3"/>
  <c r="G8" i="3"/>
  <c r="J7" i="3"/>
  <c r="I7" i="3"/>
  <c r="G7" i="3"/>
  <c r="J6" i="3"/>
  <c r="I6" i="3"/>
  <c r="G6" i="3"/>
  <c r="J5" i="3"/>
  <c r="I5" i="3"/>
  <c r="G5" i="3"/>
  <c r="J4" i="3"/>
  <c r="I4" i="3"/>
  <c r="G4" i="3"/>
  <c r="Q13" i="3"/>
  <c r="Q12" i="3"/>
  <c r="Q11" i="3"/>
  <c r="Q10" i="3"/>
  <c r="Q7" i="3"/>
  <c r="Q5" i="3"/>
  <c r="Q4" i="3"/>
  <c r="E15" i="2" l="1"/>
  <c r="D12" i="2"/>
  <c r="E13" i="2"/>
  <c r="D8" i="2"/>
  <c r="E7" i="2"/>
  <c r="E8" i="3"/>
  <c r="D7" i="2"/>
  <c r="E5" i="3"/>
  <c r="E17" i="3"/>
  <c r="E16" i="3"/>
  <c r="J12" i="2"/>
  <c r="P10" i="3" s="1"/>
  <c r="J14" i="2"/>
  <c r="P12" i="3" s="1"/>
  <c r="E12" i="2"/>
  <c r="D13" i="2"/>
  <c r="J15" i="2"/>
  <c r="P13" i="3" s="1"/>
  <c r="D14" i="2"/>
  <c r="D15" i="2"/>
  <c r="J13" i="2"/>
  <c r="P11" i="3" s="1"/>
  <c r="E14" i="2"/>
  <c r="E9" i="3"/>
  <c r="J7" i="2"/>
  <c r="P5" i="3" s="1"/>
  <c r="E8" i="2"/>
  <c r="J9" i="2"/>
  <c r="P7" i="3" s="1"/>
  <c r="D9" i="2"/>
  <c r="E9" i="2"/>
  <c r="E4" i="3"/>
  <c r="D6" i="2"/>
  <c r="E6" i="2"/>
  <c r="Q6" i="3"/>
  <c r="J8" i="2"/>
  <c r="P6" i="3" s="1"/>
  <c r="J6" i="2"/>
  <c r="P4" i="3" s="1"/>
  <c r="K15" i="2" l="1"/>
  <c r="K12" i="2"/>
  <c r="K8" i="2"/>
  <c r="K13" i="2"/>
  <c r="F7" i="2"/>
  <c r="K7" i="2"/>
  <c r="F12" i="2"/>
  <c r="K14" i="2"/>
  <c r="F15" i="2"/>
  <c r="F13" i="2"/>
  <c r="F8" i="2"/>
  <c r="F14" i="2"/>
  <c r="F9" i="2"/>
  <c r="K9" i="2"/>
  <c r="F6" i="2"/>
  <c r="K6" i="2"/>
  <c r="J11" i="4" l="1"/>
  <c r="J12" i="4"/>
  <c r="J10" i="4"/>
  <c r="J13" i="4"/>
  <c r="J4" i="4"/>
  <c r="J5" i="4"/>
  <c r="J6" i="4"/>
  <c r="J7" i="4"/>
  <c r="D13" i="3" l="1"/>
  <c r="D15" i="3"/>
  <c r="D14" i="3"/>
  <c r="D12" i="3"/>
  <c r="D7" i="3"/>
  <c r="D6" i="3"/>
  <c r="D4" i="3"/>
  <c r="D17" i="3"/>
  <c r="K4" i="4"/>
  <c r="K5" i="4" s="1"/>
  <c r="K10" i="4"/>
  <c r="K11" i="4" s="1"/>
  <c r="D16" i="3"/>
  <c r="D5" i="3"/>
  <c r="D9" i="3"/>
  <c r="D8" i="3"/>
  <c r="M13" i="3" l="1"/>
  <c r="M12" i="3"/>
  <c r="M11" i="3"/>
  <c r="L11" i="4" s="1"/>
  <c r="M10" i="3"/>
  <c r="M7" i="3"/>
  <c r="M6" i="3"/>
  <c r="M5" i="3"/>
  <c r="M4" i="3"/>
  <c r="L4" i="4" s="1"/>
  <c r="M10" i="4"/>
  <c r="K13" i="4"/>
  <c r="O10" i="4"/>
  <c r="K12" i="4"/>
  <c r="M12" i="4" s="1"/>
  <c r="L10" i="4"/>
  <c r="M5" i="4"/>
  <c r="K7" i="4"/>
  <c r="K6" i="4"/>
  <c r="O4" i="4"/>
  <c r="M4" i="4"/>
  <c r="M11" i="4" l="1"/>
  <c r="L6" i="4"/>
  <c r="L12" i="4"/>
  <c r="L13" i="4"/>
  <c r="M13" i="4"/>
  <c r="O13" i="4" s="1"/>
  <c r="L5" i="4"/>
  <c r="M7" i="4"/>
  <c r="L7" i="4"/>
  <c r="M6" i="4"/>
  <c r="N10" i="4" l="1"/>
  <c r="P10" i="4" s="1"/>
  <c r="N11" i="4"/>
  <c r="N12" i="4"/>
  <c r="N13" i="4"/>
  <c r="P13" i="4" s="1"/>
  <c r="N4" i="4"/>
  <c r="P4" i="4" s="1"/>
  <c r="O11" i="4"/>
  <c r="O12" i="4"/>
  <c r="O7" i="4"/>
  <c r="O6" i="4"/>
  <c r="N5" i="4"/>
  <c r="N7" i="4"/>
  <c r="N6" i="4"/>
  <c r="O5" i="4"/>
  <c r="P12" i="4" l="1"/>
  <c r="F14" i="3" s="1"/>
  <c r="P11" i="4"/>
  <c r="F15" i="3" s="1"/>
  <c r="P7" i="4"/>
  <c r="F8" i="3" s="1"/>
  <c r="P6" i="4"/>
  <c r="F6" i="3" s="1"/>
  <c r="F16" i="3"/>
  <c r="P5" i="4"/>
  <c r="F13" i="3" l="1"/>
  <c r="N13" i="3" s="1"/>
  <c r="F12" i="3"/>
  <c r="F7" i="3"/>
  <c r="Q10" i="4"/>
  <c r="U10" i="4" s="1"/>
  <c r="F17" i="3"/>
  <c r="Q4" i="4"/>
  <c r="Q5" i="4" s="1"/>
  <c r="F5" i="3"/>
  <c r="F4" i="3"/>
  <c r="F9" i="3"/>
  <c r="N12" i="3" l="1"/>
  <c r="N10" i="3"/>
  <c r="R10" i="4" s="1"/>
  <c r="N11" i="3"/>
  <c r="N6" i="3"/>
  <c r="N7" i="3"/>
  <c r="N4" i="3"/>
  <c r="R4" i="4" s="1"/>
  <c r="N5" i="3"/>
  <c r="Q12" i="4"/>
  <c r="S10" i="4"/>
  <c r="Q11" i="4"/>
  <c r="Q13" i="4"/>
  <c r="S13" i="4" s="1"/>
  <c r="Q7" i="4"/>
  <c r="S4" i="4"/>
  <c r="Q6" i="4"/>
  <c r="S6" i="4" s="1"/>
  <c r="U4" i="4"/>
  <c r="S7" i="4" l="1"/>
  <c r="R12" i="4"/>
  <c r="S12" i="4"/>
  <c r="R13" i="4"/>
  <c r="R11" i="4"/>
  <c r="S11" i="4"/>
  <c r="R7" i="4"/>
  <c r="R6" i="4"/>
  <c r="R5" i="4"/>
  <c r="S5" i="4"/>
  <c r="U7" i="4" l="1"/>
  <c r="U12" i="4"/>
  <c r="T11" i="4"/>
  <c r="U6" i="4"/>
  <c r="T13" i="4"/>
  <c r="U11" i="4"/>
  <c r="U13" i="4"/>
  <c r="T12" i="4"/>
  <c r="T10" i="4"/>
  <c r="V10" i="4" s="1"/>
  <c r="T7" i="4"/>
  <c r="T4" i="4"/>
  <c r="V4" i="4" s="1"/>
  <c r="T5" i="4"/>
  <c r="T6" i="4"/>
  <c r="U5" i="4"/>
  <c r="V7" i="4" l="1"/>
  <c r="H8" i="3" s="1"/>
  <c r="V12" i="4"/>
  <c r="H14" i="3" s="1"/>
  <c r="V11" i="4"/>
  <c r="H12" i="3" s="1"/>
  <c r="V6" i="4"/>
  <c r="H6" i="3" s="1"/>
  <c r="V13" i="4"/>
  <c r="V5" i="4"/>
  <c r="H7" i="3" l="1"/>
  <c r="H15" i="3"/>
  <c r="H13" i="3"/>
  <c r="H17" i="3"/>
  <c r="H5" i="3"/>
  <c r="H9" i="3"/>
  <c r="W10" i="4"/>
  <c r="W13" i="4" s="1"/>
  <c r="H16" i="3"/>
  <c r="W4" i="4"/>
  <c r="W5" i="4" s="1"/>
  <c r="H4" i="3"/>
  <c r="O13" i="3" l="1"/>
  <c r="O12" i="3"/>
  <c r="O10" i="3"/>
  <c r="X10" i="4" s="1"/>
  <c r="O11" i="3"/>
  <c r="O6" i="3"/>
  <c r="O7" i="3"/>
  <c r="O4" i="3"/>
  <c r="X4" i="4" s="1"/>
  <c r="O5" i="3"/>
  <c r="X13" i="4"/>
  <c r="Y10" i="4"/>
  <c r="W11" i="4"/>
  <c r="AA10" i="4"/>
  <c r="W12" i="4"/>
  <c r="Y12" i="4" s="1"/>
  <c r="W6" i="4"/>
  <c r="W7" i="4"/>
  <c r="Y4" i="4"/>
  <c r="AA4" i="4"/>
  <c r="X11" i="4" l="1"/>
  <c r="Y6" i="4"/>
  <c r="X7" i="4"/>
  <c r="Y13" i="4"/>
  <c r="Y11" i="4"/>
  <c r="X12" i="4"/>
  <c r="X6" i="4"/>
  <c r="Y7" i="4"/>
  <c r="X5" i="4"/>
  <c r="Y5" i="4"/>
  <c r="AA5" i="4" s="1"/>
  <c r="Z13" i="4" l="1"/>
  <c r="AA13" i="4"/>
  <c r="AA11" i="4"/>
  <c r="AA12" i="4"/>
  <c r="AA7" i="4"/>
  <c r="Z10" i="4"/>
  <c r="AB10" i="4" s="1"/>
  <c r="Z11" i="4"/>
  <c r="Z12" i="4"/>
  <c r="AB12" i="4" s="1"/>
  <c r="Z4" i="4"/>
  <c r="AB4" i="4" s="1"/>
  <c r="Z7" i="4"/>
  <c r="AA6" i="4"/>
  <c r="Z6" i="4"/>
  <c r="Z5" i="4"/>
  <c r="AB5" i="4" s="1"/>
  <c r="AB13" i="4" l="1"/>
  <c r="AB11" i="4"/>
  <c r="AC10" i="4" s="1"/>
  <c r="AD10" i="4" s="1"/>
  <c r="AB7" i="4"/>
  <c r="AB6" i="4"/>
  <c r="AC4" i="4" l="1"/>
  <c r="AC5" i="4" s="1"/>
  <c r="AE5" i="4" s="1"/>
  <c r="AE10" i="4"/>
  <c r="AC12" i="4"/>
  <c r="AE12" i="4" s="1"/>
  <c r="AC11" i="4"/>
  <c r="AD11" i="4" s="1"/>
  <c r="AG10" i="4"/>
  <c r="AC13" i="4"/>
  <c r="AE13" i="4" s="1"/>
  <c r="AC7" i="4" l="1"/>
  <c r="AE7" i="4" s="1"/>
  <c r="AG4" i="4"/>
  <c r="AD5" i="4"/>
  <c r="AD4" i="4"/>
  <c r="AE4" i="4"/>
  <c r="AC6" i="4"/>
  <c r="AE6" i="4" s="1"/>
  <c r="AD12" i="4"/>
  <c r="AE11" i="4"/>
  <c r="AG13" i="4" s="1"/>
  <c r="AD13" i="4"/>
  <c r="AG6" i="4" l="1"/>
  <c r="AG12" i="4"/>
  <c r="AG5" i="4"/>
  <c r="AG7" i="4"/>
  <c r="AD7" i="4"/>
  <c r="AD6" i="4"/>
  <c r="AG11" i="4"/>
  <c r="AF12" i="4"/>
  <c r="AF10" i="4"/>
  <c r="AH10" i="4" s="1"/>
  <c r="AF11" i="4"/>
  <c r="AF13" i="4"/>
  <c r="AH13" i="4" s="1"/>
  <c r="AH12" i="4" l="1"/>
  <c r="AH11" i="4"/>
  <c r="AF5" i="4"/>
  <c r="AH5" i="4" s="1"/>
  <c r="AF7" i="4"/>
  <c r="AH7" i="4" s="1"/>
  <c r="AF4" i="4"/>
  <c r="AH4" i="4" s="1"/>
  <c r="AF6" i="4"/>
  <c r="AH6" i="4" s="1"/>
  <c r="AI10" i="4" l="1"/>
  <c r="AI12" i="4" s="1"/>
  <c r="AK12" i="4" s="1"/>
  <c r="AI4" i="4"/>
  <c r="AJ4" i="4" s="1"/>
  <c r="AJ12" i="4" l="1"/>
  <c r="AK10" i="4"/>
  <c r="AJ10" i="4"/>
  <c r="AM10" i="4"/>
  <c r="AI13" i="4"/>
  <c r="AK13" i="4" s="1"/>
  <c r="AI11" i="4"/>
  <c r="AJ11" i="4" s="1"/>
  <c r="AI5" i="4"/>
  <c r="AK5" i="4" s="1"/>
  <c r="AI7" i="4"/>
  <c r="AJ7" i="4" s="1"/>
  <c r="AI6" i="4"/>
  <c r="AK6" i="4" s="1"/>
  <c r="AK4" i="4"/>
  <c r="AM4" i="4"/>
  <c r="AK11" i="4" l="1"/>
  <c r="AM11" i="4" s="1"/>
  <c r="AJ13" i="4"/>
  <c r="AL10" i="4" s="1"/>
  <c r="AN10" i="4" s="1"/>
  <c r="AO10" i="4" s="1"/>
  <c r="L12" i="2" s="1"/>
  <c r="AJ5" i="4"/>
  <c r="AJ6" i="4"/>
  <c r="AK7" i="4"/>
  <c r="AM5" i="4" s="1"/>
  <c r="AM6" i="4" l="1"/>
  <c r="AM7" i="4"/>
  <c r="AM12" i="4"/>
  <c r="AL11" i="4"/>
  <c r="AN11" i="4" s="1"/>
  <c r="AO11" i="4" s="1"/>
  <c r="L13" i="2" s="1"/>
  <c r="AL12" i="4"/>
  <c r="AM13" i="4"/>
  <c r="AL13" i="4"/>
  <c r="AL5" i="4"/>
  <c r="AN5" i="4" s="1"/>
  <c r="AO5" i="4" s="1"/>
  <c r="L7" i="2" s="1"/>
  <c r="AL7" i="4"/>
  <c r="AL4" i="4"/>
  <c r="AN4" i="4" s="1"/>
  <c r="AO4" i="4" s="1"/>
  <c r="L6" i="2" s="1"/>
  <c r="AL6" i="4"/>
  <c r="AN6" i="4" s="1"/>
  <c r="AO6" i="4" s="1"/>
  <c r="L8" i="2" s="1"/>
  <c r="AN7" i="4" l="1"/>
  <c r="AO7" i="4" s="1"/>
  <c r="L9" i="2" s="1"/>
  <c r="A9" i="2" s="1"/>
  <c r="AN12" i="4"/>
  <c r="AO12" i="4" s="1"/>
  <c r="L14" i="2" s="1"/>
  <c r="AN13" i="4"/>
  <c r="AO13" i="4" s="1"/>
  <c r="L15" i="2" s="1"/>
  <c r="A8" i="2" l="1"/>
  <c r="A7" i="2"/>
  <c r="A6" i="2"/>
  <c r="L26" i="1" s="1"/>
  <c r="A15" i="2"/>
  <c r="A12" i="2"/>
  <c r="A13" i="2"/>
  <c r="A14" i="2"/>
  <c r="L28" i="1" l="1"/>
  <c r="F26" i="1"/>
  <c r="M28" i="1"/>
  <c r="L25" i="1"/>
  <c r="H27" i="1"/>
  <c r="L27" i="1"/>
  <c r="J27" i="1"/>
  <c r="E27" i="1"/>
  <c r="C27" i="1"/>
  <c r="G27" i="1"/>
  <c r="H25" i="1"/>
  <c r="J28" i="1"/>
  <c r="N25" i="1"/>
  <c r="M27" i="1"/>
  <c r="C26" i="1"/>
  <c r="C25" i="1"/>
  <c r="E26" i="1"/>
  <c r="C28" i="1"/>
  <c r="N28" i="1"/>
  <c r="M26" i="1"/>
  <c r="G28" i="1"/>
  <c r="M25" i="1"/>
  <c r="G25" i="1"/>
  <c r="H28" i="1"/>
  <c r="F28" i="1"/>
  <c r="H26" i="1"/>
  <c r="N27" i="1"/>
  <c r="F25" i="1"/>
  <c r="F27" i="1"/>
  <c r="E25" i="1"/>
  <c r="J25" i="1"/>
  <c r="G26" i="1"/>
  <c r="E28" i="1"/>
  <c r="N26" i="1"/>
  <c r="J26" i="1"/>
  <c r="V25" i="1"/>
  <c r="AE28" i="1"/>
  <c r="AA26" i="1"/>
  <c r="V26" i="1"/>
  <c r="AE27" i="1"/>
  <c r="X25" i="1"/>
  <c r="X26" i="1"/>
  <c r="W27" i="1"/>
  <c r="AD27" i="1"/>
  <c r="AE25" i="1"/>
  <c r="AC28" i="1"/>
  <c r="AE26" i="1"/>
  <c r="W26" i="1"/>
  <c r="AD28" i="1"/>
  <c r="AD25" i="1"/>
  <c r="AC27" i="1"/>
  <c r="Y27" i="1"/>
  <c r="X27" i="1"/>
  <c r="T27" i="1"/>
  <c r="Y26" i="1"/>
  <c r="T28" i="1"/>
  <c r="X28" i="1"/>
  <c r="Y28" i="1"/>
  <c r="AA28" i="1"/>
  <c r="AA27" i="1"/>
  <c r="T25" i="1"/>
  <c r="Y25" i="1"/>
  <c r="W25" i="1"/>
  <c r="T26" i="1"/>
  <c r="AC26" i="1"/>
  <c r="W28" i="1"/>
  <c r="AD26" i="1"/>
  <c r="AC25" i="1"/>
  <c r="V27" i="1"/>
  <c r="V28" i="1"/>
  <c r="AA25" i="1"/>
  <c r="F33" i="1" l="1"/>
  <c r="J34" i="1"/>
  <c r="J33" i="1"/>
  <c r="U36" i="1" s="1"/>
  <c r="F34" i="1"/>
</calcChain>
</file>

<file path=xl/sharedStrings.xml><?xml version="1.0" encoding="utf-8"?>
<sst xmlns="http://schemas.openxmlformats.org/spreadsheetml/2006/main" count="335" uniqueCount="120">
  <si>
    <t>Gruppe A - Tabelle</t>
  </si>
  <si>
    <t>Gruppe B - Tabelle</t>
  </si>
  <si>
    <t>Platz</t>
  </si>
  <si>
    <t>Land</t>
  </si>
  <si>
    <t>G</t>
  </si>
  <si>
    <t>S</t>
  </si>
  <si>
    <t>U</t>
  </si>
  <si>
    <t xml:space="preserve">   N</t>
  </si>
  <si>
    <t>Tore</t>
  </si>
  <si>
    <t>Diff</t>
  </si>
  <si>
    <t>Punkte</t>
  </si>
  <si>
    <t>1.</t>
  </si>
  <si>
    <t>:</t>
  </si>
  <si>
    <t>Slowakei</t>
  </si>
  <si>
    <t>2.</t>
  </si>
  <si>
    <t>Wales</t>
  </si>
  <si>
    <t>3.</t>
  </si>
  <si>
    <t>Russland</t>
  </si>
  <si>
    <t>4.</t>
  </si>
  <si>
    <t>England</t>
  </si>
  <si>
    <t>Gruppe A - Spielplan</t>
  </si>
  <si>
    <t>Gruppe B - Spielplan</t>
  </si>
  <si>
    <t>Spiel</t>
  </si>
  <si>
    <t>Datum</t>
  </si>
  <si>
    <t>Zeit</t>
  </si>
  <si>
    <t>Mannschaften</t>
  </si>
  <si>
    <t>Deutschland</t>
  </si>
  <si>
    <t>Portugal</t>
  </si>
  <si>
    <t>Halbfinale</t>
  </si>
  <si>
    <t>Finale</t>
  </si>
  <si>
    <t>Berechnung der Gruppentabellen</t>
  </si>
  <si>
    <t>Gruppe A</t>
  </si>
  <si>
    <t>Order</t>
  </si>
  <si>
    <t>Rang</t>
  </si>
  <si>
    <t>Gruppe B</t>
  </si>
  <si>
    <t>Direktspiele (zur Berechnung der Ränge)</t>
  </si>
  <si>
    <t>Flag_Punkte</t>
  </si>
  <si>
    <t>P_dir</t>
  </si>
  <si>
    <t>Flag_Diff</t>
  </si>
  <si>
    <t>Diff_dir</t>
  </si>
  <si>
    <t>Flag_Tore</t>
  </si>
  <si>
    <t>F1</t>
  </si>
  <si>
    <t>F2</t>
  </si>
  <si>
    <t>P_dir_ges</t>
  </si>
  <si>
    <t>Diff_dir_ges</t>
  </si>
  <si>
    <t>Tore_dir_ges</t>
  </si>
  <si>
    <t>Diff_ges</t>
  </si>
  <si>
    <t>Tore_ges</t>
  </si>
  <si>
    <t>Kriterien</t>
  </si>
  <si>
    <t>1. höhere Punktzahl - gesamt</t>
  </si>
  <si>
    <t>2. höhere Punktzahl - direkt</t>
  </si>
  <si>
    <t>3. Tordiff - direkt</t>
  </si>
  <si>
    <t>4. Mehr Tore - direkt</t>
  </si>
  <si>
    <t>5. Tordiff - gesamt</t>
  </si>
  <si>
    <t>6. Mehr Tore - gesamt</t>
  </si>
  <si>
    <t>Gewinn</t>
  </si>
  <si>
    <t>Gleich</t>
  </si>
  <si>
    <t>Berechnung der Ränge</t>
  </si>
  <si>
    <t>Spiel 1</t>
  </si>
  <si>
    <t>Spiel 2</t>
  </si>
  <si>
    <t>Spiel 3</t>
  </si>
  <si>
    <t>1. Kriterium</t>
  </si>
  <si>
    <t>Flag_1</t>
  </si>
  <si>
    <t>Punkte_1</t>
  </si>
  <si>
    <t>Punkte_2</t>
  </si>
  <si>
    <t>Rang(Punkte_1)</t>
  </si>
  <si>
    <t>Rang(Punkte_2)</t>
  </si>
  <si>
    <t>2. Kriterium</t>
  </si>
  <si>
    <t>Flag_2</t>
  </si>
  <si>
    <t>Diff_1</t>
  </si>
  <si>
    <t>Diff_2</t>
  </si>
  <si>
    <t>Rang(Diff_1)</t>
  </si>
  <si>
    <t>Rang(Diff_2)</t>
  </si>
  <si>
    <t>3. Kriterium</t>
  </si>
  <si>
    <t>Flag_3</t>
  </si>
  <si>
    <t>Tore_1</t>
  </si>
  <si>
    <t>Tore_2</t>
  </si>
  <si>
    <t>Rang(Tore_1)</t>
  </si>
  <si>
    <t>Rang(Tore_2)</t>
  </si>
  <si>
    <t>4. Kriterium</t>
  </si>
  <si>
    <t>Flag_4</t>
  </si>
  <si>
    <t>Diff_ges_1</t>
  </si>
  <si>
    <t>Diff_ges_2</t>
  </si>
  <si>
    <t>Rang(Diff_ges)</t>
  </si>
  <si>
    <t>Rang(diff_ges)</t>
  </si>
  <si>
    <t>5. Kriterium</t>
  </si>
  <si>
    <t>Flag_5</t>
  </si>
  <si>
    <t>Tor_ges_1</t>
  </si>
  <si>
    <t>Tor_ges_2</t>
  </si>
  <si>
    <t>Rang(Tor_ges_1)</t>
  </si>
  <si>
    <t>Rang(Tor_ges_2)</t>
  </si>
  <si>
    <t>6.Kriterium</t>
  </si>
  <si>
    <t>Finaler Rang</t>
  </si>
  <si>
    <t>Bitte ankreuzen</t>
  </si>
  <si>
    <t xml:space="preserve"> Meine Tipps</t>
  </si>
  <si>
    <t xml:space="preserve"> Echte Ergebnisse</t>
  </si>
  <si>
    <t>Confed Cup 2017 Spielplan</t>
  </si>
  <si>
    <t>Neuseeland</t>
  </si>
  <si>
    <t>Mexiko</t>
  </si>
  <si>
    <t>Kamerun</t>
  </si>
  <si>
    <t>Chile</t>
  </si>
  <si>
    <t>Australien</t>
  </si>
  <si>
    <t>Gruppe A - Teilnehmer</t>
  </si>
  <si>
    <t>Gruppe B - Teilnehmer</t>
  </si>
  <si>
    <t>Gewinner</t>
  </si>
  <si>
    <t>Spiel um Platz 3</t>
  </si>
  <si>
    <t>1. Russland</t>
  </si>
  <si>
    <t>2. Neuseeland</t>
  </si>
  <si>
    <t>3. Portugal</t>
  </si>
  <si>
    <t>4. Mexiko</t>
  </si>
  <si>
    <t>1. Kamerun</t>
  </si>
  <si>
    <t>2. Chile</t>
  </si>
  <si>
    <t>3. Australien</t>
  </si>
  <si>
    <t>4. Deutschland</t>
  </si>
  <si>
    <t xml:space="preserve">  Australien</t>
  </si>
  <si>
    <t>**Flag nur, wenn beide Teams den selben Rang haben</t>
  </si>
  <si>
    <t xml:space="preserve">              Neuseeland</t>
  </si>
  <si>
    <t xml:space="preserve">               Mexiko</t>
  </si>
  <si>
    <t xml:space="preserve">               Chile</t>
  </si>
  <si>
    <t xml:space="preserve">                Deutschland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</si>
</sst>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h&quot;:&quot;mm;@"/>
    <numFmt numFmtId="165" formatCode="dd&quot;.&quot;mm&quot;.&quot;yyyy"/>
    <numFmt numFmtId="166" formatCode="hh&quot;:&quot;mm"/>
    <numFmt numFmtId="167" formatCode="[$-407]h&quot;:&quot;mm&quot;:&quot;ss&quot; &quot;AM/PM"/>
  </numFmts>
  <fonts count="17" x14ac:knownFonts="1">
    <font>
      <sz val="11"/>
      <color rgb="FF000000"/>
      <name val="Calibri"/>
      <family val="2"/>
    </font>
    <font>
      <sz val="11"/>
      <color rgb="FF006100"/>
      <name val="Calibri"/>
      <family val="2"/>
    </font>
    <font>
      <b/>
      <sz val="16"/>
      <color rgb="FFFFFFFF"/>
      <name val="Calibri"/>
      <family val="2"/>
    </font>
    <font>
      <b/>
      <sz val="11"/>
      <color rgb="FF000000"/>
      <name val="Calibri"/>
      <family val="2"/>
    </font>
    <font>
      <sz val="10"/>
      <color rgb="FF333333"/>
      <name val="Verdana"/>
      <family val="2"/>
    </font>
    <font>
      <sz val="11"/>
      <color rgb="FF666666"/>
      <name val="Arial"/>
      <family val="2"/>
    </font>
    <font>
      <u/>
      <sz val="11"/>
      <color theme="10"/>
      <name val="Calibri"/>
      <family val="2"/>
    </font>
    <font>
      <sz val="11"/>
      <color theme="0"/>
      <name val="Calibri"/>
      <family val="2"/>
    </font>
    <font>
      <u/>
      <sz val="11"/>
      <color theme="0"/>
      <name val="Calibri"/>
      <family val="2"/>
    </font>
    <font>
      <sz val="16"/>
      <color theme="0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b/>
      <sz val="22"/>
      <color theme="4" tint="-0.499984740745262"/>
      <name val="Verdana"/>
      <family val="2"/>
    </font>
    <font>
      <b/>
      <sz val="22"/>
      <color theme="0"/>
      <name val="Verdana"/>
      <family val="2"/>
    </font>
    <font>
      <b/>
      <sz val="18"/>
      <color rgb="FF000000"/>
      <name val="Calibri"/>
      <family val="2"/>
    </font>
    <font>
      <b/>
      <sz val="11"/>
      <color rgb="FFBDD7EE"/>
      <name val="Calibri"/>
      <family val="2"/>
    </font>
    <font>
      <b/>
      <sz val="20"/>
      <color rgb="FFFF000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FF"/>
        <bgColor rgb="FFFFFFFF"/>
      </patternFill>
    </fill>
    <fill>
      <patternFill patternType="solid">
        <fgColor rgb="FFC00000"/>
        <bgColor rgb="FFC00000"/>
      </patternFill>
    </fill>
    <fill>
      <patternFill patternType="solid">
        <fgColor rgb="FFA6A6A6"/>
        <bgColor rgb="FFA6A6A6"/>
      </patternFill>
    </fill>
    <fill>
      <patternFill patternType="solid">
        <fgColor rgb="FFFFF2CC"/>
        <bgColor rgb="FFFFF2CC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rgb="FFBDD7E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CCCC"/>
      </patternFill>
    </fill>
    <fill>
      <patternFill patternType="solid">
        <fgColor theme="0"/>
        <bgColor rgb="FFF2F2F2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rgb="FF003399"/>
      </patternFill>
    </fill>
    <fill>
      <patternFill patternType="solid">
        <fgColor theme="4" tint="-0.249977111117893"/>
        <bgColor rgb="FFBDD7EE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FFCCCC"/>
      </patternFill>
    </fill>
    <fill>
      <patternFill patternType="solid">
        <fgColor theme="4" tint="-0.249977111117893"/>
        <bgColor rgb="FFFFFFFF"/>
      </patternFill>
    </fill>
    <fill>
      <patternFill patternType="solid">
        <fgColor theme="0" tint="-0.34998626667073579"/>
        <bgColor rgb="FFA6A6A6"/>
      </patternFill>
    </fill>
  </fills>
  <borders count="35">
    <border>
      <left/>
      <right/>
      <top/>
      <bottom/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/>
      <top style="medium">
        <color rgb="FFA6A6A6"/>
      </top>
      <bottom/>
      <diagonal/>
    </border>
    <border>
      <left/>
      <right/>
      <top style="medium">
        <color rgb="FFA6A6A6"/>
      </top>
      <bottom/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/>
      <top/>
      <bottom/>
      <diagonal/>
    </border>
    <border>
      <left/>
      <right style="medium">
        <color rgb="FFA6A6A6"/>
      </right>
      <top/>
      <bottom/>
      <diagonal/>
    </border>
    <border>
      <left style="medium">
        <color rgb="FFA6A6A6"/>
      </left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 style="medium">
        <color rgb="FFA6A6A6"/>
      </right>
      <top/>
      <bottom style="thin">
        <color rgb="FFBFBFBF"/>
      </bottom>
      <diagonal/>
    </border>
    <border>
      <left style="medium">
        <color rgb="FFA6A6A6"/>
      </left>
      <right/>
      <top style="thin">
        <color rgb="FFBFBFBF"/>
      </top>
      <bottom style="thin">
        <color rgb="FFBFBFBF"/>
      </bottom>
      <diagonal/>
    </border>
    <border>
      <left/>
      <right style="medium">
        <color rgb="FFA6A6A6"/>
      </right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medium">
        <color rgb="FFA6A6A6"/>
      </left>
      <right/>
      <top/>
      <bottom style="medium">
        <color rgb="FFA6A6A6"/>
      </bottom>
      <diagonal/>
    </border>
    <border>
      <left/>
      <right/>
      <top/>
      <bottom style="medium">
        <color rgb="FFA6A6A6"/>
      </bottom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/>
      <right/>
      <top style="thin">
        <color rgb="FFBFBFBF"/>
      </top>
      <bottom style="medium">
        <color rgb="FFA6A6A6"/>
      </bottom>
      <diagonal/>
    </border>
    <border>
      <left/>
      <right style="thin">
        <color rgb="FFBFBFBF"/>
      </right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/>
      <bottom/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A6A6A6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87">
    <xf numFmtId="0" fontId="0" fillId="0" borderId="0" xfId="0"/>
    <xf numFmtId="0" fontId="7" fillId="4" borderId="0" xfId="2" applyFont="1" applyFill="1" applyAlignment="1">
      <alignment horizontal="center" vertical="center"/>
    </xf>
    <xf numFmtId="0" fontId="8" fillId="4" borderId="0" xfId="2" applyFont="1" applyFill="1" applyAlignment="1">
      <alignment horizontal="center" vertical="center"/>
    </xf>
    <xf numFmtId="0" fontId="0" fillId="0" borderId="0" xfId="0" applyProtection="1">
      <protection hidden="1"/>
    </xf>
    <xf numFmtId="0" fontId="0" fillId="0" borderId="25" xfId="0" applyBorder="1" applyProtection="1">
      <protection hidden="1"/>
    </xf>
    <xf numFmtId="0" fontId="0" fillId="8" borderId="25" xfId="0" applyFill="1" applyBorder="1" applyProtection="1">
      <protection hidden="1"/>
    </xf>
    <xf numFmtId="0" fontId="0" fillId="8" borderId="25" xfId="0" applyFill="1" applyBorder="1" applyAlignment="1" applyProtection="1">
      <alignment horizontal="center" vertical="center"/>
      <protection hidden="1"/>
    </xf>
    <xf numFmtId="0" fontId="0" fillId="8" borderId="25" xfId="0" applyFill="1" applyBorder="1" applyAlignment="1" applyProtection="1">
      <alignment horizontal="left" vertical="center"/>
      <protection hidden="1"/>
    </xf>
    <xf numFmtId="0" fontId="0" fillId="8" borderId="25" xfId="0" applyFill="1" applyBorder="1" applyAlignment="1" applyProtection="1">
      <alignment horizontal="center"/>
      <protection hidden="1"/>
    </xf>
    <xf numFmtId="0" fontId="0" fillId="8" borderId="25" xfId="0" applyFill="1" applyBorder="1" applyAlignment="1" applyProtection="1">
      <alignment horizontal="left"/>
      <protection hidden="1"/>
    </xf>
    <xf numFmtId="0" fontId="0" fillId="9" borderId="25" xfId="0" applyFill="1" applyBorder="1" applyProtection="1">
      <protection hidden="1"/>
    </xf>
    <xf numFmtId="0" fontId="0" fillId="8" borderId="25" xfId="0" applyFill="1" applyBorder="1" applyAlignment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0" fillId="0" borderId="24" xfId="0" applyBorder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7" xfId="0" applyBorder="1" applyAlignment="1" applyProtection="1">
      <alignment horizontal="right"/>
      <protection hidden="1"/>
    </xf>
    <xf numFmtId="0" fontId="0" fillId="6" borderId="0" xfId="0" applyFill="1" applyProtection="1">
      <protection hidden="1"/>
    </xf>
    <xf numFmtId="0" fontId="0" fillId="7" borderId="0" xfId="0" applyFill="1" applyProtection="1">
      <protection hidden="1"/>
    </xf>
    <xf numFmtId="0" fontId="5" fillId="0" borderId="0" xfId="0" applyFont="1" applyProtection="1">
      <protection hidden="1"/>
    </xf>
    <xf numFmtId="0" fontId="0" fillId="0" borderId="19" xfId="0" applyBorder="1" applyProtection="1">
      <protection hidden="1"/>
    </xf>
    <xf numFmtId="0" fontId="0" fillId="3" borderId="19" xfId="0" applyFill="1" applyBorder="1" applyProtection="1">
      <protection hidden="1"/>
    </xf>
    <xf numFmtId="0" fontId="7" fillId="4" borderId="0" xfId="2" applyFont="1" applyFill="1" applyAlignment="1" applyProtection="1">
      <alignment horizontal="center" vertical="center"/>
    </xf>
    <xf numFmtId="0" fontId="3" fillId="10" borderId="7" xfId="0" applyFont="1" applyFill="1" applyBorder="1" applyAlignment="1"/>
    <xf numFmtId="0" fontId="0" fillId="14" borderId="0" xfId="0" applyFill="1" applyAlignment="1"/>
    <xf numFmtId="0" fontId="7" fillId="14" borderId="0" xfId="0" applyFont="1" applyFill="1" applyAlignment="1"/>
    <xf numFmtId="0" fontId="9" fillId="14" borderId="0" xfId="0" applyFont="1" applyFill="1" applyAlignment="1"/>
    <xf numFmtId="0" fontId="14" fillId="8" borderId="6" xfId="0" applyFont="1" applyFill="1" applyBorder="1" applyAlignment="1"/>
    <xf numFmtId="0" fontId="14" fillId="8" borderId="0" xfId="0" applyFont="1" applyFill="1" applyBorder="1" applyAlignment="1"/>
    <xf numFmtId="0" fontId="14" fillId="8" borderId="7" xfId="0" applyFont="1" applyFill="1" applyBorder="1" applyAlignment="1"/>
    <xf numFmtId="0" fontId="0" fillId="15" borderId="0" xfId="0" applyFill="1"/>
    <xf numFmtId="0" fontId="0" fillId="15" borderId="0" xfId="0" applyFill="1" applyProtection="1">
      <protection hidden="1"/>
    </xf>
    <xf numFmtId="0" fontId="12" fillId="16" borderId="0" xfId="0" applyFont="1" applyFill="1" applyBorder="1" applyAlignment="1">
      <alignment vertical="center"/>
    </xf>
    <xf numFmtId="0" fontId="0" fillId="17" borderId="0" xfId="0" applyFill="1" applyAlignment="1">
      <alignment horizontal="center"/>
    </xf>
    <xf numFmtId="0" fontId="0" fillId="15" borderId="0" xfId="0" applyFill="1" applyAlignment="1">
      <alignment horizontal="right"/>
    </xf>
    <xf numFmtId="0" fontId="0" fillId="15" borderId="0" xfId="0" applyFill="1" applyAlignment="1">
      <alignment horizontal="left"/>
    </xf>
    <xf numFmtId="0" fontId="0" fillId="15" borderId="0" xfId="0" applyFill="1" applyAlignment="1">
      <alignment horizontal="center" vertical="center"/>
    </xf>
    <xf numFmtId="0" fontId="0" fillId="15" borderId="0" xfId="0" applyFill="1" applyAlignment="1">
      <alignment horizontal="center"/>
    </xf>
    <xf numFmtId="0" fontId="0" fillId="18" borderId="0" xfId="0" applyFill="1" applyAlignment="1">
      <alignment horizontal="center"/>
    </xf>
    <xf numFmtId="0" fontId="0" fillId="18" borderId="0" xfId="0" applyFill="1"/>
    <xf numFmtId="0" fontId="0" fillId="18" borderId="0" xfId="0" applyFill="1" applyAlignment="1">
      <alignment horizontal="right"/>
    </xf>
    <xf numFmtId="0" fontId="0" fillId="18" borderId="0" xfId="0" applyFill="1" applyAlignment="1">
      <alignment horizontal="left"/>
    </xf>
    <xf numFmtId="0" fontId="0" fillId="17" borderId="0" xfId="0" applyFill="1"/>
    <xf numFmtId="0" fontId="0" fillId="17" borderId="0" xfId="0" applyFill="1" applyAlignment="1">
      <alignment horizontal="left"/>
    </xf>
    <xf numFmtId="0" fontId="0" fillId="16" borderId="0" xfId="0" applyFill="1"/>
    <xf numFmtId="0" fontId="0" fillId="18" borderId="23" xfId="0" applyFill="1" applyBorder="1"/>
    <xf numFmtId="0" fontId="4" fillId="15" borderId="0" xfId="0" applyFont="1" applyFill="1"/>
    <xf numFmtId="0" fontId="3" fillId="18" borderId="0" xfId="0" applyFont="1" applyFill="1"/>
    <xf numFmtId="0" fontId="2" fillId="18" borderId="0" xfId="0" applyFont="1" applyFill="1" applyAlignment="1">
      <alignment vertical="center"/>
    </xf>
    <xf numFmtId="0" fontId="0" fillId="18" borderId="0" xfId="0" applyFill="1" applyAlignment="1">
      <alignment vertical="center"/>
    </xf>
    <xf numFmtId="0" fontId="3" fillId="8" borderId="6" xfId="0" applyFont="1" applyFill="1" applyBorder="1" applyAlignment="1">
      <alignment horizontal="center"/>
    </xf>
    <xf numFmtId="0" fontId="3" fillId="8" borderId="0" xfId="0" applyFont="1" applyFill="1" applyAlignment="1">
      <alignment horizontal="center"/>
    </xf>
    <xf numFmtId="0" fontId="3" fillId="10" borderId="0" xfId="0" applyFont="1" applyFill="1" applyAlignment="1"/>
    <xf numFmtId="0" fontId="3" fillId="10" borderId="0" xfId="0" applyFont="1" applyFill="1" applyAlignment="1">
      <alignment horizontal="center"/>
    </xf>
    <xf numFmtId="0" fontId="0" fillId="8" borderId="6" xfId="0" applyFont="1" applyFill="1" applyBorder="1" applyAlignment="1">
      <alignment horizontal="right"/>
    </xf>
    <xf numFmtId="165" fontId="0" fillId="8" borderId="0" xfId="0" applyNumberFormat="1" applyFont="1" applyFill="1"/>
    <xf numFmtId="164" fontId="0" fillId="8" borderId="0" xfId="0" applyNumberFormat="1" applyFont="1" applyFill="1" applyAlignment="1">
      <alignment horizontal="center"/>
    </xf>
    <xf numFmtId="167" fontId="0" fillId="8" borderId="0" xfId="0" applyNumberFormat="1" applyFont="1" applyFill="1" applyAlignment="1"/>
    <xf numFmtId="0" fontId="0" fillId="8" borderId="0" xfId="0" applyFont="1" applyFill="1" applyAlignment="1">
      <alignment horizontal="center"/>
    </xf>
    <xf numFmtId="0" fontId="0" fillId="10" borderId="0" xfId="0" applyFont="1" applyFill="1" applyAlignment="1">
      <alignment horizontal="center"/>
    </xf>
    <xf numFmtId="0" fontId="0" fillId="10" borderId="7" xfId="0" applyFont="1" applyFill="1" applyBorder="1"/>
    <xf numFmtId="0" fontId="0" fillId="8" borderId="14" xfId="0" applyFont="1" applyFill="1" applyBorder="1"/>
    <xf numFmtId="0" fontId="0" fillId="8" borderId="15" xfId="0" applyFont="1" applyFill="1" applyBorder="1"/>
    <xf numFmtId="0" fontId="0" fillId="8" borderId="15" xfId="0" applyFont="1" applyFill="1" applyBorder="1" applyAlignment="1">
      <alignment horizontal="center"/>
    </xf>
    <xf numFmtId="0" fontId="0" fillId="10" borderId="15" xfId="0" applyFont="1" applyFill="1" applyBorder="1"/>
    <xf numFmtId="0" fontId="0" fillId="10" borderId="16" xfId="0" applyFont="1" applyFill="1" applyBorder="1"/>
    <xf numFmtId="0" fontId="3" fillId="10" borderId="6" xfId="0" applyFont="1" applyFill="1" applyBorder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3" fillId="10" borderId="0" xfId="0" applyFont="1" applyFill="1" applyAlignment="1">
      <alignment vertical="center"/>
    </xf>
    <xf numFmtId="0" fontId="3" fillId="11" borderId="0" xfId="0" applyFont="1" applyFill="1" applyAlignment="1">
      <alignment vertical="center"/>
    </xf>
    <xf numFmtId="0" fontId="3" fillId="11" borderId="0" xfId="0" applyFont="1" applyFill="1" applyAlignment="1">
      <alignment horizontal="center" vertical="center"/>
    </xf>
    <xf numFmtId="0" fontId="3" fillId="11" borderId="0" xfId="0" applyFont="1" applyFill="1"/>
    <xf numFmtId="0" fontId="3" fillId="11" borderId="7" xfId="0" applyFont="1" applyFill="1" applyBorder="1"/>
    <xf numFmtId="0" fontId="0" fillId="10" borderId="6" xfId="0" applyFont="1" applyFill="1" applyBorder="1" applyAlignment="1">
      <alignment horizontal="right"/>
    </xf>
    <xf numFmtId="165" fontId="0" fillId="10" borderId="0" xfId="0" applyNumberFormat="1" applyFont="1" applyFill="1"/>
    <xf numFmtId="164" fontId="0" fillId="10" borderId="0" xfId="0" applyNumberFormat="1" applyFont="1" applyFill="1" applyAlignment="1">
      <alignment horizontal="center"/>
    </xf>
    <xf numFmtId="0" fontId="0" fillId="10" borderId="0" xfId="0" applyFont="1" applyFill="1"/>
    <xf numFmtId="0" fontId="0" fillId="11" borderId="0" xfId="0" applyFont="1" applyFill="1" applyAlignment="1">
      <alignment horizontal="center"/>
    </xf>
    <xf numFmtId="0" fontId="0" fillId="11" borderId="7" xfId="0" applyFont="1" applyFill="1" applyBorder="1"/>
    <xf numFmtId="0" fontId="0" fillId="11" borderId="0" xfId="0" applyFont="1" applyFill="1" applyBorder="1" applyAlignment="1">
      <alignment horizontal="center"/>
    </xf>
    <xf numFmtId="0" fontId="0" fillId="10" borderId="14" xfId="0" applyFont="1" applyFill="1" applyBorder="1"/>
    <xf numFmtId="0" fontId="0" fillId="10" borderId="15" xfId="0" applyFont="1" applyFill="1" applyBorder="1" applyAlignment="1">
      <alignment horizontal="center"/>
    </xf>
    <xf numFmtId="0" fontId="0" fillId="11" borderId="15" xfId="0" applyFont="1" applyFill="1" applyBorder="1"/>
    <xf numFmtId="0" fontId="0" fillId="11" borderId="16" xfId="0" applyFont="1" applyFill="1" applyBorder="1"/>
    <xf numFmtId="0" fontId="3" fillId="8" borderId="6" xfId="0" applyFont="1" applyFill="1" applyBorder="1"/>
    <xf numFmtId="0" fontId="3" fillId="8" borderId="0" xfId="0" applyFont="1" applyFill="1"/>
    <xf numFmtId="0" fontId="3" fillId="8" borderId="0" xfId="0" applyFont="1" applyFill="1" applyAlignment="1">
      <alignment horizontal="left"/>
    </xf>
    <xf numFmtId="0" fontId="3" fillId="10" borderId="0" xfId="0" applyFont="1" applyFill="1"/>
    <xf numFmtId="0" fontId="3" fillId="10" borderId="7" xfId="0" applyFont="1" applyFill="1" applyBorder="1"/>
    <xf numFmtId="0" fontId="0" fillId="8" borderId="8" xfId="0" applyFont="1" applyFill="1" applyBorder="1" applyAlignment="1">
      <alignment horizontal="right"/>
    </xf>
    <xf numFmtId="0" fontId="0" fillId="8" borderId="9" xfId="0" applyFont="1" applyFill="1" applyBorder="1" applyAlignment="1" applyProtection="1">
      <alignment horizontal="left"/>
      <protection hidden="1"/>
    </xf>
    <xf numFmtId="0" fontId="0" fillId="8" borderId="9" xfId="0" applyFont="1" applyFill="1" applyBorder="1" applyAlignment="1">
      <alignment horizontal="left"/>
    </xf>
    <xf numFmtId="0" fontId="0" fillId="8" borderId="9" xfId="0" applyFont="1" applyFill="1" applyBorder="1" applyAlignment="1" applyProtection="1">
      <alignment horizontal="center" vertical="center"/>
      <protection hidden="1"/>
    </xf>
    <xf numFmtId="0" fontId="0" fillId="8" borderId="9" xfId="0" applyFont="1" applyFill="1" applyBorder="1" applyProtection="1">
      <protection hidden="1"/>
    </xf>
    <xf numFmtId="0" fontId="0" fillId="8" borderId="9" xfId="0" applyFont="1" applyFill="1" applyBorder="1" applyAlignment="1" applyProtection="1">
      <alignment horizontal="center"/>
      <protection hidden="1"/>
    </xf>
    <xf numFmtId="0" fontId="0" fillId="10" borderId="9" xfId="0" applyFont="1" applyFill="1" applyBorder="1" applyAlignment="1" applyProtection="1">
      <alignment horizontal="center"/>
      <protection hidden="1"/>
    </xf>
    <xf numFmtId="0" fontId="0" fillId="10" borderId="10" xfId="0" applyFont="1" applyFill="1" applyBorder="1"/>
    <xf numFmtId="0" fontId="0" fillId="8" borderId="11" xfId="0" applyFont="1" applyFill="1" applyBorder="1" applyAlignment="1">
      <alignment horizontal="right"/>
    </xf>
    <xf numFmtId="0" fontId="0" fillId="10" borderId="12" xfId="0" applyFont="1" applyFill="1" applyBorder="1"/>
    <xf numFmtId="0" fontId="0" fillId="8" borderId="14" xfId="0" applyFont="1" applyFill="1" applyBorder="1" applyAlignment="1">
      <alignment horizontal="right"/>
    </xf>
    <xf numFmtId="0" fontId="0" fillId="8" borderId="15" xfId="0" applyFont="1" applyFill="1" applyBorder="1" applyAlignment="1" applyProtection="1">
      <alignment horizontal="left"/>
      <protection hidden="1"/>
    </xf>
    <xf numFmtId="0" fontId="0" fillId="8" borderId="15" xfId="0" applyFont="1" applyFill="1" applyBorder="1" applyAlignment="1">
      <alignment horizontal="left"/>
    </xf>
    <xf numFmtId="0" fontId="0" fillId="8" borderId="15" xfId="0" applyFont="1" applyFill="1" applyBorder="1" applyAlignment="1" applyProtection="1">
      <alignment horizontal="center" vertical="center"/>
      <protection hidden="1"/>
    </xf>
    <xf numFmtId="0" fontId="0" fillId="8" borderId="15" xfId="0" applyFont="1" applyFill="1" applyBorder="1" applyProtection="1">
      <protection hidden="1"/>
    </xf>
    <xf numFmtId="0" fontId="0" fillId="8" borderId="15" xfId="0" applyFont="1" applyFill="1" applyBorder="1" applyAlignment="1" applyProtection="1">
      <alignment horizontal="center"/>
      <protection hidden="1"/>
    </xf>
    <xf numFmtId="0" fontId="0" fillId="10" borderId="15" xfId="0" applyFont="1" applyFill="1" applyBorder="1" applyAlignment="1" applyProtection="1">
      <alignment horizontal="center"/>
      <protection hidden="1"/>
    </xf>
    <xf numFmtId="0" fontId="3" fillId="10" borderId="6" xfId="0" applyFont="1" applyFill="1" applyBorder="1"/>
    <xf numFmtId="0" fontId="3" fillId="11" borderId="0" xfId="0" applyFont="1" applyFill="1" applyAlignment="1">
      <alignment horizontal="center"/>
    </xf>
    <xf numFmtId="0" fontId="3" fillId="11" borderId="0" xfId="0" applyFont="1" applyFill="1" applyAlignment="1">
      <alignment horizontal="left"/>
    </xf>
    <xf numFmtId="0" fontId="3" fillId="11" borderId="7" xfId="0" applyFont="1" applyFill="1" applyBorder="1" applyAlignment="1">
      <alignment horizontal="center"/>
    </xf>
    <xf numFmtId="0" fontId="0" fillId="10" borderId="8" xfId="0" applyFont="1" applyFill="1" applyBorder="1" applyAlignment="1">
      <alignment horizontal="right"/>
    </xf>
    <xf numFmtId="0" fontId="0" fillId="11" borderId="9" xfId="0" applyFont="1" applyFill="1" applyBorder="1" applyAlignment="1" applyProtection="1">
      <alignment horizontal="center"/>
      <protection hidden="1"/>
    </xf>
    <xf numFmtId="0" fontId="0" fillId="11" borderId="9" xfId="0" applyFont="1" applyFill="1" applyBorder="1" applyProtection="1">
      <protection hidden="1"/>
    </xf>
    <xf numFmtId="0" fontId="0" fillId="11" borderId="9" xfId="0" applyFont="1" applyFill="1" applyBorder="1" applyAlignment="1" applyProtection="1">
      <alignment horizontal="left"/>
      <protection hidden="1"/>
    </xf>
    <xf numFmtId="0" fontId="0" fillId="11" borderId="10" xfId="0" applyFont="1" applyFill="1" applyBorder="1"/>
    <xf numFmtId="0" fontId="0" fillId="10" borderId="11" xfId="0" applyFont="1" applyFill="1" applyBorder="1" applyAlignment="1">
      <alignment horizontal="right"/>
    </xf>
    <xf numFmtId="0" fontId="0" fillId="11" borderId="12" xfId="0" applyFont="1" applyFill="1" applyBorder="1"/>
    <xf numFmtId="0" fontId="0" fillId="10" borderId="14" xfId="0" applyFont="1" applyFill="1" applyBorder="1" applyAlignment="1">
      <alignment horizontal="right"/>
    </xf>
    <xf numFmtId="0" fontId="0" fillId="11" borderId="15" xfId="0" applyFont="1" applyFill="1" applyBorder="1" applyAlignment="1" applyProtection="1">
      <alignment horizontal="center"/>
      <protection hidden="1"/>
    </xf>
    <xf numFmtId="0" fontId="0" fillId="11" borderId="15" xfId="0" applyFont="1" applyFill="1" applyBorder="1" applyProtection="1">
      <protection hidden="1"/>
    </xf>
    <xf numFmtId="0" fontId="0" fillId="11" borderId="15" xfId="0" applyFont="1" applyFill="1" applyBorder="1" applyAlignment="1" applyProtection="1">
      <alignment horizontal="left"/>
      <protection hidden="1"/>
    </xf>
    <xf numFmtId="0" fontId="3" fillId="10" borderId="6" xfId="0" applyFont="1" applyFill="1" applyBorder="1" applyAlignment="1">
      <alignment horizontal="center"/>
    </xf>
    <xf numFmtId="0" fontId="15" fillId="10" borderId="0" xfId="0" applyFont="1" applyFill="1"/>
    <xf numFmtId="0" fontId="15" fillId="11" borderId="0" xfId="0" applyFont="1" applyFill="1"/>
    <xf numFmtId="0" fontId="15" fillId="11" borderId="0" xfId="0" applyFont="1" applyFill="1" applyAlignment="1">
      <alignment horizontal="center"/>
    </xf>
    <xf numFmtId="0" fontId="0" fillId="10" borderId="6" xfId="0" applyFont="1" applyFill="1" applyBorder="1"/>
    <xf numFmtId="165" fontId="0" fillId="10" borderId="0" xfId="0" applyNumberFormat="1" applyFont="1" applyFill="1" applyAlignment="1">
      <alignment horizontal="center"/>
    </xf>
    <xf numFmtId="166" fontId="0" fillId="10" borderId="0" xfId="0" applyNumberFormat="1" applyFont="1" applyFill="1" applyAlignment="1">
      <alignment horizontal="center"/>
    </xf>
    <xf numFmtId="0" fontId="0" fillId="11" borderId="0" xfId="0" applyFont="1" applyFill="1" applyAlignment="1" applyProtection="1">
      <alignment horizontal="center"/>
      <protection hidden="1"/>
    </xf>
    <xf numFmtId="0" fontId="0" fillId="11" borderId="0" xfId="0" applyFont="1" applyFill="1" applyProtection="1">
      <protection hidden="1"/>
    </xf>
    <xf numFmtId="0" fontId="0" fillId="0" borderId="28" xfId="0" applyBorder="1"/>
    <xf numFmtId="0" fontId="0" fillId="0" borderId="0" xfId="0" applyProtection="1">
      <protection locked="0" hidden="1"/>
    </xf>
    <xf numFmtId="0" fontId="10" fillId="14" borderId="26" xfId="0" applyFont="1" applyFill="1" applyBorder="1" applyAlignment="1" applyProtection="1">
      <alignment horizontal="center"/>
      <protection locked="0" hidden="1"/>
    </xf>
    <xf numFmtId="0" fontId="0" fillId="12" borderId="19" xfId="0" applyFont="1" applyFill="1" applyBorder="1" applyAlignment="1" applyProtection="1">
      <alignment horizontal="right"/>
      <protection locked="0" hidden="1"/>
    </xf>
    <xf numFmtId="0" fontId="0" fillId="12" borderId="20" xfId="0" applyFont="1" applyFill="1" applyBorder="1" applyAlignment="1" applyProtection="1">
      <alignment horizontal="right"/>
      <protection locked="0" hidden="1"/>
    </xf>
    <xf numFmtId="0" fontId="0" fillId="12" borderId="22" xfId="0" applyFont="1" applyFill="1" applyBorder="1" applyAlignment="1" applyProtection="1">
      <alignment horizontal="right"/>
      <protection locked="0" hidden="1"/>
    </xf>
    <xf numFmtId="0" fontId="0" fillId="12" borderId="19" xfId="0" applyFont="1" applyFill="1" applyBorder="1" applyProtection="1">
      <protection locked="0" hidden="1"/>
    </xf>
    <xf numFmtId="0" fontId="14" fillId="8" borderId="6" xfId="0" applyFont="1" applyFill="1" applyBorder="1" applyAlignment="1">
      <alignment horizontal="center" vertical="top"/>
    </xf>
    <xf numFmtId="0" fontId="14" fillId="8" borderId="0" xfId="0" applyFont="1" applyFill="1" applyBorder="1" applyAlignment="1">
      <alignment horizontal="center" vertical="top"/>
    </xf>
    <xf numFmtId="0" fontId="14" fillId="8" borderId="14" xfId="0" applyFont="1" applyFill="1" applyBorder="1" applyAlignment="1">
      <alignment horizontal="center" vertical="top"/>
    </xf>
    <xf numFmtId="0" fontId="14" fillId="8" borderId="15" xfId="0" applyFont="1" applyFill="1" applyBorder="1" applyAlignment="1">
      <alignment horizontal="center" vertical="top"/>
    </xf>
    <xf numFmtId="0" fontId="14" fillId="8" borderId="0" xfId="0" applyFont="1" applyFill="1" applyBorder="1" applyAlignment="1">
      <alignment horizontal="left" vertical="top"/>
    </xf>
    <xf numFmtId="0" fontId="14" fillId="8" borderId="7" xfId="0" applyFont="1" applyFill="1" applyBorder="1" applyAlignment="1">
      <alignment horizontal="left" vertical="top"/>
    </xf>
    <xf numFmtId="0" fontId="14" fillId="8" borderId="15" xfId="0" applyFont="1" applyFill="1" applyBorder="1" applyAlignment="1">
      <alignment horizontal="left" vertical="top"/>
    </xf>
    <xf numFmtId="0" fontId="14" fillId="8" borderId="16" xfId="0" applyFont="1" applyFill="1" applyBorder="1" applyAlignment="1">
      <alignment horizontal="left" vertical="top"/>
    </xf>
    <xf numFmtId="43" fontId="14" fillId="8" borderId="4" xfId="3" applyFont="1" applyFill="1" applyBorder="1" applyAlignment="1">
      <alignment horizontal="left"/>
    </xf>
    <xf numFmtId="43" fontId="14" fillId="8" borderId="5" xfId="3" applyFont="1" applyFill="1" applyBorder="1" applyAlignment="1">
      <alignment horizontal="left"/>
    </xf>
    <xf numFmtId="43" fontId="14" fillId="8" borderId="0" xfId="3" applyFont="1" applyFill="1" applyBorder="1" applyAlignment="1">
      <alignment horizontal="left"/>
    </xf>
    <xf numFmtId="43" fontId="14" fillId="8" borderId="7" xfId="3" applyFont="1" applyFill="1" applyBorder="1" applyAlignment="1">
      <alignment horizontal="left"/>
    </xf>
    <xf numFmtId="0" fontId="13" fillId="13" borderId="0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/>
    </xf>
    <xf numFmtId="0" fontId="14" fillId="8" borderId="4" xfId="0" applyFont="1" applyFill="1" applyBorder="1" applyAlignment="1">
      <alignment horizontal="center"/>
    </xf>
    <xf numFmtId="0" fontId="14" fillId="8" borderId="6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8" borderId="0" xfId="0" applyFont="1" applyFill="1" applyAlignment="1">
      <alignment horizontal="right"/>
    </xf>
    <xf numFmtId="0" fontId="0" fillId="8" borderId="18" xfId="0" applyFont="1" applyFill="1" applyBorder="1" applyAlignment="1"/>
    <xf numFmtId="0" fontId="0" fillId="11" borderId="0" xfId="0" applyFont="1" applyFill="1" applyAlignment="1">
      <alignment horizontal="right"/>
    </xf>
    <xf numFmtId="0" fontId="0" fillId="11" borderId="18" xfId="0" applyFont="1" applyFill="1" applyBorder="1" applyAlignment="1">
      <alignment horizontal="left"/>
    </xf>
    <xf numFmtId="0" fontId="0" fillId="11" borderId="21" xfId="0" applyFont="1" applyFill="1" applyBorder="1" applyAlignment="1">
      <alignment horizontal="left"/>
    </xf>
    <xf numFmtId="0" fontId="3" fillId="8" borderId="0" xfId="0" applyFont="1" applyFill="1" applyAlignment="1">
      <alignment horizontal="center"/>
    </xf>
    <xf numFmtId="0" fontId="3" fillId="11" borderId="0" xfId="0" applyFont="1" applyFill="1" applyAlignment="1">
      <alignment horizontal="center" vertical="center"/>
    </xf>
    <xf numFmtId="0" fontId="16" fillId="3" borderId="28" xfId="0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Border="1" applyAlignment="1" applyProtection="1">
      <alignment horizontal="center" vertical="center"/>
      <protection hidden="1"/>
    </xf>
    <xf numFmtId="0" fontId="16" fillId="3" borderId="31" xfId="0" applyFont="1" applyFill="1" applyBorder="1" applyAlignment="1" applyProtection="1">
      <alignment horizontal="center" vertical="center"/>
      <protection hidden="1"/>
    </xf>
    <xf numFmtId="0" fontId="16" fillId="3" borderId="32" xfId="0" applyFont="1" applyFill="1" applyBorder="1" applyAlignment="1" applyProtection="1">
      <alignment horizontal="center" vertical="center"/>
      <protection hidden="1"/>
    </xf>
    <xf numFmtId="0" fontId="16" fillId="3" borderId="33" xfId="0" applyFont="1" applyFill="1" applyBorder="1" applyAlignment="1" applyProtection="1">
      <alignment horizontal="center" vertical="center"/>
      <protection hidden="1"/>
    </xf>
    <xf numFmtId="0" fontId="16" fillId="3" borderId="34" xfId="0" applyFont="1" applyFill="1" applyBorder="1" applyAlignment="1" applyProtection="1">
      <alignment horizontal="center" vertical="center"/>
      <protection hidden="1"/>
    </xf>
    <xf numFmtId="0" fontId="2" fillId="19" borderId="29" xfId="0" applyFont="1" applyFill="1" applyBorder="1" applyAlignment="1">
      <alignment horizontal="center" vertical="center"/>
    </xf>
    <xf numFmtId="0" fontId="2" fillId="19" borderId="27" xfId="0" applyFont="1" applyFill="1" applyBorder="1" applyAlignment="1">
      <alignment horizontal="center" vertical="center"/>
    </xf>
    <xf numFmtId="0" fontId="2" fillId="19" borderId="30" xfId="0" applyFont="1" applyFill="1" applyBorder="1" applyAlignment="1">
      <alignment horizontal="center" vertical="center"/>
    </xf>
    <xf numFmtId="0" fontId="2" fillId="19" borderId="28" xfId="0" applyFont="1" applyFill="1" applyBorder="1" applyAlignment="1">
      <alignment horizontal="center" vertical="center"/>
    </xf>
    <xf numFmtId="0" fontId="2" fillId="19" borderId="0" xfId="0" applyFont="1" applyFill="1" applyBorder="1" applyAlignment="1">
      <alignment horizontal="center" vertical="center"/>
    </xf>
    <xf numFmtId="0" fontId="2" fillId="19" borderId="31" xfId="0" applyFont="1" applyFill="1" applyBorder="1" applyAlignment="1">
      <alignment horizontal="center" vertical="center"/>
    </xf>
    <xf numFmtId="0" fontId="0" fillId="8" borderId="18" xfId="0" applyFont="1" applyFill="1" applyBorder="1" applyAlignment="1">
      <alignment wrapText="1"/>
    </xf>
    <xf numFmtId="0" fontId="0" fillId="11" borderId="0" xfId="0" applyFont="1" applyFill="1" applyAlignment="1" applyProtection="1">
      <alignment horizontal="right"/>
      <protection hidden="1"/>
    </xf>
    <xf numFmtId="0" fontId="0" fillId="11" borderId="18" xfId="0" applyFont="1" applyFill="1" applyBorder="1" applyAlignment="1" applyProtection="1">
      <alignment horizontal="left"/>
      <protection hidden="1"/>
    </xf>
    <xf numFmtId="0" fontId="0" fillId="10" borderId="17" xfId="0" applyFont="1" applyFill="1" applyBorder="1" applyAlignment="1" applyProtection="1">
      <alignment horizontal="left"/>
      <protection hidden="1"/>
    </xf>
    <xf numFmtId="0" fontId="7" fillId="4" borderId="0" xfId="2" applyFont="1" applyFill="1" applyAlignment="1" applyProtection="1">
      <alignment horizontal="center" vertical="center"/>
    </xf>
    <xf numFmtId="0" fontId="0" fillId="10" borderId="9" xfId="0" applyFont="1" applyFill="1" applyBorder="1" applyAlignment="1" applyProtection="1">
      <alignment horizontal="left"/>
      <protection hidden="1"/>
    </xf>
    <xf numFmtId="0" fontId="0" fillId="10" borderId="13" xfId="0" applyFont="1" applyFill="1" applyBorder="1" applyAlignment="1" applyProtection="1">
      <alignment horizontal="left"/>
      <protection hidden="1"/>
    </xf>
    <xf numFmtId="0" fontId="0" fillId="15" borderId="0" xfId="0" applyFill="1"/>
    <xf numFmtId="0" fontId="0" fillId="0" borderId="0" xfId="0" applyAlignment="1" applyProtection="1">
      <alignment horizontal="center"/>
      <protection hidden="1"/>
    </xf>
  </cellXfs>
  <cellStyles count="4">
    <cellStyle name="Comma" xfId="3" builtinId="3"/>
    <cellStyle name="Good" xfId="1" builtinId="26" customBuiltin="1"/>
    <cellStyle name="Hyperlink" xfId="2" builtinId="8"/>
    <cellStyle name="Normal" xfId="0" builtinId="0" customBuiltin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fed-cup.de" TargetMode="External"/><Relationship Id="rId13" Type="http://schemas.openxmlformats.org/officeDocument/2006/relationships/image" Target="../media/image10.png"/><Relationship Id="rId18" Type="http://schemas.openxmlformats.org/officeDocument/2006/relationships/image" Target="../media/image15.png"/><Relationship Id="rId3" Type="http://schemas.openxmlformats.org/officeDocument/2006/relationships/hyperlink" Target="http://www.fussballnationalmannschaft.net/" TargetMode="External"/><Relationship Id="rId21" Type="http://schemas.openxmlformats.org/officeDocument/2006/relationships/image" Target="../media/image18.png"/><Relationship Id="rId7" Type="http://schemas.openxmlformats.org/officeDocument/2006/relationships/image" Target="../media/image5.gif"/><Relationship Id="rId12" Type="http://schemas.openxmlformats.org/officeDocument/2006/relationships/image" Target="../media/image9.jpeg"/><Relationship Id="rId17" Type="http://schemas.openxmlformats.org/officeDocument/2006/relationships/image" Target="../media/image14.png"/><Relationship Id="rId2" Type="http://schemas.openxmlformats.org/officeDocument/2006/relationships/image" Target="../media/image1.png"/><Relationship Id="rId16" Type="http://schemas.openxmlformats.org/officeDocument/2006/relationships/image" Target="../media/image13.jpeg"/><Relationship Id="rId20" Type="http://schemas.openxmlformats.org/officeDocument/2006/relationships/image" Target="../media/image17.png"/><Relationship Id="rId1" Type="http://schemas.openxmlformats.org/officeDocument/2006/relationships/hyperlink" Target="http://www.deutschlandtrikot.de" TargetMode="External"/><Relationship Id="rId6" Type="http://schemas.openxmlformats.org/officeDocument/2006/relationships/image" Target="../media/image4.gif"/><Relationship Id="rId11" Type="http://schemas.openxmlformats.org/officeDocument/2006/relationships/image" Target="../media/image8.jpeg"/><Relationship Id="rId5" Type="http://schemas.openxmlformats.org/officeDocument/2006/relationships/image" Target="../media/image3.gif"/><Relationship Id="rId15" Type="http://schemas.openxmlformats.org/officeDocument/2006/relationships/image" Target="../media/image12.png"/><Relationship Id="rId10" Type="http://schemas.openxmlformats.org/officeDocument/2006/relationships/image" Target="../media/image7.png"/><Relationship Id="rId19" Type="http://schemas.openxmlformats.org/officeDocument/2006/relationships/image" Target="../media/image16.png"/><Relationship Id="rId4" Type="http://schemas.openxmlformats.org/officeDocument/2006/relationships/image" Target="../media/image2.png"/><Relationship Id="rId9" Type="http://schemas.openxmlformats.org/officeDocument/2006/relationships/image" Target="../media/image6.jpeg"/><Relationship Id="rId14" Type="http://schemas.openxmlformats.org/officeDocument/2006/relationships/image" Target="../media/image11.jpeg"/><Relationship Id="rId22" Type="http://schemas.openxmlformats.org/officeDocument/2006/relationships/image" Target="../media/image1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140440</xdr:colOff>
      <xdr:row>47</xdr:row>
      <xdr:rowOff>145053</xdr:rowOff>
    </xdr:from>
    <xdr:to>
      <xdr:col>12</xdr:col>
      <xdr:colOff>25320</xdr:colOff>
      <xdr:row>49</xdr:row>
      <xdr:rowOff>209209</xdr:rowOff>
    </xdr:to>
    <xdr:pic>
      <xdr:nvPicPr>
        <xdr:cNvPr id="74" name="Grafik 7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2380" y="9449073"/>
          <a:ext cx="4540700" cy="597557"/>
        </a:xfrm>
        <a:prstGeom prst="rect">
          <a:avLst/>
        </a:prstGeom>
      </xdr:spPr>
    </xdr:pic>
    <xdr:clientData/>
  </xdr:twoCellAnchor>
  <xdr:twoCellAnchor editAs="oneCell">
    <xdr:from>
      <xdr:col>23</xdr:col>
      <xdr:colOff>167592</xdr:colOff>
      <xdr:row>44</xdr:row>
      <xdr:rowOff>79977</xdr:rowOff>
    </xdr:from>
    <xdr:to>
      <xdr:col>31</xdr:col>
      <xdr:colOff>199342</xdr:colOff>
      <xdr:row>48</xdr:row>
      <xdr:rowOff>33860</xdr:rowOff>
    </xdr:to>
    <xdr:pic>
      <xdr:nvPicPr>
        <xdr:cNvPr id="75" name="Grafik 7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8257" y="16730642"/>
          <a:ext cx="3323300" cy="877746"/>
        </a:xfrm>
        <a:prstGeom prst="rect">
          <a:avLst/>
        </a:prstGeom>
      </xdr:spPr>
    </xdr:pic>
    <xdr:clientData/>
  </xdr:twoCellAnchor>
  <xdr:oneCellAnchor>
    <xdr:from>
      <xdr:col>5</xdr:col>
      <xdr:colOff>11430</xdr:colOff>
      <xdr:row>14</xdr:row>
      <xdr:rowOff>13335</xdr:rowOff>
    </xdr:from>
    <xdr:ext cx="180978" cy="123828"/>
    <xdr:pic>
      <xdr:nvPicPr>
        <xdr:cNvPr id="76" name="Grafik 49">
          <a:extLst>
            <a:ext uri="{FF2B5EF4-FFF2-40B4-BE49-F238E27FC236}">
              <a16:creationId xmlns:a16="http://schemas.microsoft.com/office/drawing/2014/main" id="{855C77F1-6862-47B6-94B9-3BEB8D9E7D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343150" y="2863215"/>
          <a:ext cx="180978" cy="12382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28</xdr:col>
      <xdr:colOff>228600</xdr:colOff>
      <xdr:row>15</xdr:row>
      <xdr:rowOff>5964</xdr:rowOff>
    </xdr:from>
    <xdr:ext cx="180978" cy="123828"/>
    <xdr:pic>
      <xdr:nvPicPr>
        <xdr:cNvPr id="77" name="Grafik 38">
          <a:extLst>
            <a:ext uri="{FF2B5EF4-FFF2-40B4-BE49-F238E27FC236}">
              <a16:creationId xmlns:a16="http://schemas.microsoft.com/office/drawing/2014/main" id="{122AC037-C523-4457-96B8-593111ABF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386930" y="3776207"/>
          <a:ext cx="180978" cy="12382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5</xdr:col>
      <xdr:colOff>0</xdr:colOff>
      <xdr:row>15</xdr:row>
      <xdr:rowOff>15240</xdr:rowOff>
    </xdr:from>
    <xdr:ext cx="180978" cy="123828"/>
    <xdr:pic>
      <xdr:nvPicPr>
        <xdr:cNvPr id="78" name="Grafik 95">
          <a:extLst>
            <a:ext uri="{FF2B5EF4-FFF2-40B4-BE49-F238E27FC236}">
              <a16:creationId xmlns:a16="http://schemas.microsoft.com/office/drawing/2014/main" id="{2D6E0325-B0F1-4C9B-BED2-9ED15BB42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331720" y="3048000"/>
          <a:ext cx="180978" cy="12382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4</xdr:col>
      <xdr:colOff>293370</xdr:colOff>
      <xdr:row>16</xdr:row>
      <xdr:rowOff>13335</xdr:rowOff>
    </xdr:from>
    <xdr:ext cx="180978" cy="123828"/>
    <xdr:pic>
      <xdr:nvPicPr>
        <xdr:cNvPr id="79" name="Grafik 49">
          <a:extLst>
            <a:ext uri="{FF2B5EF4-FFF2-40B4-BE49-F238E27FC236}">
              <a16:creationId xmlns:a16="http://schemas.microsoft.com/office/drawing/2014/main" id="{33E53F67-4A32-45BB-B171-BDE046114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327910" y="3228975"/>
          <a:ext cx="180978" cy="12382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11</xdr:col>
      <xdr:colOff>186686</xdr:colOff>
      <xdr:row>16</xdr:row>
      <xdr:rowOff>22863</xdr:rowOff>
    </xdr:from>
    <xdr:ext cx="180978" cy="123828"/>
    <xdr:pic>
      <xdr:nvPicPr>
        <xdr:cNvPr id="80" name="Grafik 95">
          <a:extLst>
            <a:ext uri="{FF2B5EF4-FFF2-40B4-BE49-F238E27FC236}">
              <a16:creationId xmlns:a16="http://schemas.microsoft.com/office/drawing/2014/main" id="{6CCB4A1E-FAD6-4ADD-87AA-4F8B50058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674866" y="3238503"/>
          <a:ext cx="180978" cy="12382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21</xdr:col>
      <xdr:colOff>289560</xdr:colOff>
      <xdr:row>17</xdr:row>
      <xdr:rowOff>6709</xdr:rowOff>
    </xdr:from>
    <xdr:ext cx="180978" cy="123828"/>
    <xdr:pic>
      <xdr:nvPicPr>
        <xdr:cNvPr id="81" name="Grafik 38">
          <a:extLst>
            <a:ext uri="{FF2B5EF4-FFF2-40B4-BE49-F238E27FC236}">
              <a16:creationId xmlns:a16="http://schemas.microsoft.com/office/drawing/2014/main" id="{3C5CD39F-E59F-4AA8-9A4D-3E1DA4757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982986" y="4174518"/>
          <a:ext cx="180978" cy="12382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11</xdr:col>
      <xdr:colOff>182880</xdr:colOff>
      <xdr:row>18</xdr:row>
      <xdr:rowOff>38100</xdr:rowOff>
    </xdr:from>
    <xdr:ext cx="180978" cy="123828"/>
    <xdr:pic>
      <xdr:nvPicPr>
        <xdr:cNvPr id="82" name="Grafik 49">
          <a:extLst>
            <a:ext uri="{FF2B5EF4-FFF2-40B4-BE49-F238E27FC236}">
              <a16:creationId xmlns:a16="http://schemas.microsoft.com/office/drawing/2014/main" id="{6A8AA056-6420-4BAE-907B-7575AF2D5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671060" y="3619500"/>
          <a:ext cx="180978" cy="12382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11</xdr:col>
      <xdr:colOff>182880</xdr:colOff>
      <xdr:row>19</xdr:row>
      <xdr:rowOff>30480</xdr:rowOff>
    </xdr:from>
    <xdr:ext cx="180978" cy="123828"/>
    <xdr:pic>
      <xdr:nvPicPr>
        <xdr:cNvPr id="83" name="Grafik 95">
          <a:extLst>
            <a:ext uri="{FF2B5EF4-FFF2-40B4-BE49-F238E27FC236}">
              <a16:creationId xmlns:a16="http://schemas.microsoft.com/office/drawing/2014/main" id="{20750B24-6DE1-452F-A33D-E99CC0309E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671060" y="3794760"/>
          <a:ext cx="180978" cy="123828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21</xdr:col>
      <xdr:colOff>281940</xdr:colOff>
      <xdr:row>18</xdr:row>
      <xdr:rowOff>7703</xdr:rowOff>
    </xdr:from>
    <xdr:ext cx="180978" cy="123828"/>
    <xdr:pic>
      <xdr:nvPicPr>
        <xdr:cNvPr id="84" name="Grafik 38">
          <a:extLst>
            <a:ext uri="{FF2B5EF4-FFF2-40B4-BE49-F238E27FC236}">
              <a16:creationId xmlns:a16="http://schemas.microsoft.com/office/drawing/2014/main" id="{027CF2E0-342C-4CE1-BEF5-EF17D127E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975366" y="4374294"/>
          <a:ext cx="180978" cy="123828"/>
        </a:xfrm>
        <a:prstGeom prst="rect">
          <a:avLst/>
        </a:prstGeom>
        <a:noFill/>
        <a:ln cap="flat">
          <a:noFill/>
        </a:ln>
      </xdr:spPr>
    </xdr:pic>
    <xdr:clientData/>
  </xdr:oneCellAnchor>
  <xdr:twoCellAnchor editAs="oneCell">
    <xdr:from>
      <xdr:col>22</xdr:col>
      <xdr:colOff>0</xdr:colOff>
      <xdr:row>0</xdr:row>
      <xdr:rowOff>32426</xdr:rowOff>
    </xdr:from>
    <xdr:to>
      <xdr:col>33</xdr:col>
      <xdr:colOff>173939</xdr:colOff>
      <xdr:row>3</xdr:row>
      <xdr:rowOff>113490</xdr:rowOff>
    </xdr:to>
    <xdr:pic>
      <xdr:nvPicPr>
        <xdr:cNvPr id="13" name="Picture 12" descr="https://tools.web.de/thumbnails/dT1hSFIwY0Rvdkx6TmpMV3hwZG1VdVpHeGhiaTVqYVc1bGRHbGpMbVJsTDIxaGFXd3ZZMnhwWlc1MEwybHVkR1Z5Ym1Gc0wyRjBkR0ZqYUcxbGJuUXZaRzkzYm14dllXUXZkR0YwZERCZk15MHRMWFJ0WVdreE5HRXlaRE5tWm1JM00yWTVaRGsxTzJwelpYTnphVzl1YVdROU16bEZSa1kyUVRFelJVTXlRell5TTBaRk1rVTFSRVF3UlRnek56YzFOall0YmpNdVluTTFOV0lfJnc9ODAwJmg9NjAwJnE9NzUmdD0xNDg3ODg5NTI5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F0A56965-7292-4B8C-ACAD-78669A89D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2327" y="32426"/>
          <a:ext cx="4521298" cy="6906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83130</xdr:colOff>
      <xdr:row>6</xdr:row>
      <xdr:rowOff>124695</xdr:rowOff>
    </xdr:from>
    <xdr:to>
      <xdr:col>2</xdr:col>
      <xdr:colOff>737681</xdr:colOff>
      <xdr:row>8</xdr:row>
      <xdr:rowOff>27711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CFCF28B2-C714-4AC1-97BA-0DA849EE3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294" y="1316186"/>
          <a:ext cx="654551" cy="4294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83119</xdr:colOff>
      <xdr:row>8</xdr:row>
      <xdr:rowOff>277104</xdr:rowOff>
    </xdr:from>
    <xdr:to>
      <xdr:col>2</xdr:col>
      <xdr:colOff>728546</xdr:colOff>
      <xdr:row>10</xdr:row>
      <xdr:rowOff>69286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FB66D28D-69DC-467B-8C1C-2CEB397530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283" y="1995068"/>
          <a:ext cx="645427" cy="429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41571</xdr:colOff>
      <xdr:row>6</xdr:row>
      <xdr:rowOff>124692</xdr:rowOff>
    </xdr:from>
    <xdr:to>
      <xdr:col>10</xdr:col>
      <xdr:colOff>110843</xdr:colOff>
      <xdr:row>8</xdr:row>
      <xdr:rowOff>27709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95A64DC5-47EE-4FFB-8704-B8F22D556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2916" y="1316183"/>
          <a:ext cx="651163" cy="4294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41563</xdr:colOff>
      <xdr:row>8</xdr:row>
      <xdr:rowOff>277098</xdr:rowOff>
    </xdr:from>
    <xdr:to>
      <xdr:col>10</xdr:col>
      <xdr:colOff>114731</xdr:colOff>
      <xdr:row>10</xdr:row>
      <xdr:rowOff>83136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A163B5F5-7994-4AE7-8D7C-A356941D8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2908" y="1995062"/>
          <a:ext cx="655059" cy="4433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61647</xdr:colOff>
      <xdr:row>6</xdr:row>
      <xdr:rowOff>138543</xdr:rowOff>
    </xdr:from>
    <xdr:to>
      <xdr:col>19</xdr:col>
      <xdr:colOff>734694</xdr:colOff>
      <xdr:row>8</xdr:row>
      <xdr:rowOff>41561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88B05941-D1E8-49D0-AA19-C1CF8B857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7574" y="1510143"/>
          <a:ext cx="673047" cy="429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19</xdr:col>
      <xdr:colOff>83119</xdr:colOff>
      <xdr:row>8</xdr:row>
      <xdr:rowOff>277104</xdr:rowOff>
    </xdr:from>
    <xdr:ext cx="645427" cy="429491"/>
    <xdr:pic>
      <xdr:nvPicPr>
        <xdr:cNvPr id="24" name="Picture 23">
          <a:extLst>
            <a:ext uri="{FF2B5EF4-FFF2-40B4-BE49-F238E27FC236}">
              <a16:creationId xmlns:a16="http://schemas.microsoft.com/office/drawing/2014/main" id="{0130671D-1B00-41A1-AAF9-3266FDC8C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283" y="2175177"/>
          <a:ext cx="645427" cy="429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25</xdr:col>
      <xdr:colOff>41563</xdr:colOff>
      <xdr:row>8</xdr:row>
      <xdr:rowOff>277098</xdr:rowOff>
    </xdr:from>
    <xdr:ext cx="655059" cy="443347"/>
    <xdr:pic>
      <xdr:nvPicPr>
        <xdr:cNvPr id="26" name="Picture 25">
          <a:extLst>
            <a:ext uri="{FF2B5EF4-FFF2-40B4-BE49-F238E27FC236}">
              <a16:creationId xmlns:a16="http://schemas.microsoft.com/office/drawing/2014/main" id="{5F3AF8D9-CEB9-4D9E-9656-3998BAE1D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2908" y="2175171"/>
          <a:ext cx="655059" cy="4433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25</xdr:col>
      <xdr:colOff>41567</xdr:colOff>
      <xdr:row>6</xdr:row>
      <xdr:rowOff>124688</xdr:rowOff>
    </xdr:from>
    <xdr:to>
      <xdr:col>27</xdr:col>
      <xdr:colOff>147546</xdr:colOff>
      <xdr:row>8</xdr:row>
      <xdr:rowOff>27704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9A917333-5B5F-4BAE-AAAD-BF9AB7BDB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7676" y="1496288"/>
          <a:ext cx="687870" cy="4294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83125</xdr:colOff>
      <xdr:row>8</xdr:row>
      <xdr:rowOff>277092</xdr:rowOff>
    </xdr:from>
    <xdr:to>
      <xdr:col>19</xdr:col>
      <xdr:colOff>740523</xdr:colOff>
      <xdr:row>10</xdr:row>
      <xdr:rowOff>69273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9B4EA5CA-F574-49C4-B2E8-F65D2B418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9052" y="2175165"/>
          <a:ext cx="657398" cy="4294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41564</xdr:colOff>
      <xdr:row>8</xdr:row>
      <xdr:rowOff>277089</xdr:rowOff>
    </xdr:from>
    <xdr:to>
      <xdr:col>27</xdr:col>
      <xdr:colOff>152400</xdr:colOff>
      <xdr:row>10</xdr:row>
      <xdr:rowOff>83125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DF245ED-6810-47A5-97DD-01F2F4F7C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7673" y="2175162"/>
          <a:ext cx="692727" cy="4433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286871</xdr:colOff>
      <xdr:row>17</xdr:row>
      <xdr:rowOff>8959</xdr:rowOff>
    </xdr:from>
    <xdr:to>
      <xdr:col>5</xdr:col>
      <xdr:colOff>179295</xdr:colOff>
      <xdr:row>17</xdr:row>
      <xdr:rowOff>137768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C9C83B0B-5095-4FF1-8598-AEC117E4D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1859" y="4168583"/>
          <a:ext cx="188260" cy="128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286870</xdr:colOff>
      <xdr:row>18</xdr:row>
      <xdr:rowOff>8960</xdr:rowOff>
    </xdr:from>
    <xdr:to>
      <xdr:col>5</xdr:col>
      <xdr:colOff>179294</xdr:colOff>
      <xdr:row>18</xdr:row>
      <xdr:rowOff>137769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CA354A5C-EBDE-4B18-A412-65A35535E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1858" y="4365807"/>
          <a:ext cx="188260" cy="128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179294</xdr:colOff>
      <xdr:row>15</xdr:row>
      <xdr:rowOff>8961</xdr:rowOff>
    </xdr:from>
    <xdr:to>
      <xdr:col>11</xdr:col>
      <xdr:colOff>367554</xdr:colOff>
      <xdr:row>15</xdr:row>
      <xdr:rowOff>137770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64DF7907-6166-4A81-B8D3-9CB1CABFA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1647" y="3774137"/>
          <a:ext cx="188260" cy="128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291547</xdr:colOff>
      <xdr:row>19</xdr:row>
      <xdr:rowOff>7792</xdr:rowOff>
    </xdr:from>
    <xdr:to>
      <xdr:col>5</xdr:col>
      <xdr:colOff>181633</xdr:colOff>
      <xdr:row>19</xdr:row>
      <xdr:rowOff>138160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312EA44A-36AE-473F-B606-FE9CD4AF2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5756" y="4573166"/>
          <a:ext cx="188260" cy="130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178904</xdr:colOff>
      <xdr:row>14</xdr:row>
      <xdr:rowOff>13253</xdr:rowOff>
    </xdr:from>
    <xdr:to>
      <xdr:col>11</xdr:col>
      <xdr:colOff>367164</xdr:colOff>
      <xdr:row>14</xdr:row>
      <xdr:rowOff>143621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34472968-D9A3-44B8-A0B3-A0A15E20A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8017" y="3584714"/>
          <a:ext cx="188260" cy="130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185530</xdr:colOff>
      <xdr:row>17</xdr:row>
      <xdr:rowOff>13251</xdr:rowOff>
    </xdr:from>
    <xdr:to>
      <xdr:col>11</xdr:col>
      <xdr:colOff>373790</xdr:colOff>
      <xdr:row>17</xdr:row>
      <xdr:rowOff>143619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E83AD442-496C-4DD6-9C74-4C702D9E6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4643" y="4181060"/>
          <a:ext cx="188260" cy="1303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288938</xdr:colOff>
      <xdr:row>19</xdr:row>
      <xdr:rowOff>7588</xdr:rowOff>
    </xdr:from>
    <xdr:to>
      <xdr:col>22</xdr:col>
      <xdr:colOff>169984</xdr:colOff>
      <xdr:row>19</xdr:row>
      <xdr:rowOff>128151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CB57D213-2523-41BF-B0F7-8705267959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9876" y="4579588"/>
          <a:ext cx="179985" cy="120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223442</xdr:colOff>
      <xdr:row>14</xdr:row>
      <xdr:rowOff>7589</xdr:rowOff>
    </xdr:from>
    <xdr:to>
      <xdr:col>28</xdr:col>
      <xdr:colOff>402662</xdr:colOff>
      <xdr:row>14</xdr:row>
      <xdr:rowOff>128152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E3C13519-4120-4682-9C93-004F213B2E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1772" y="3579050"/>
          <a:ext cx="179220" cy="120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225287</xdr:colOff>
      <xdr:row>15</xdr:row>
      <xdr:rowOff>198780</xdr:rowOff>
    </xdr:from>
    <xdr:to>
      <xdr:col>28</xdr:col>
      <xdr:colOff>409291</xdr:colOff>
      <xdr:row>16</xdr:row>
      <xdr:rowOff>124509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428112F4-A039-43EF-BCFA-AF5D9DBEE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3617" y="3969023"/>
          <a:ext cx="184004" cy="1258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223443</xdr:colOff>
      <xdr:row>17</xdr:row>
      <xdr:rowOff>14210</xdr:rowOff>
    </xdr:from>
    <xdr:to>
      <xdr:col>28</xdr:col>
      <xdr:colOff>402663</xdr:colOff>
      <xdr:row>17</xdr:row>
      <xdr:rowOff>134773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6DACAA0E-8824-4E64-9796-84E7D875E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1773" y="4182019"/>
          <a:ext cx="179220" cy="120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287978</xdr:colOff>
      <xdr:row>16</xdr:row>
      <xdr:rowOff>7673</xdr:rowOff>
    </xdr:from>
    <xdr:to>
      <xdr:col>22</xdr:col>
      <xdr:colOff>172278</xdr:colOff>
      <xdr:row>16</xdr:row>
      <xdr:rowOff>132523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2E066E17-B7A1-4123-BA13-1A0A9B421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1404" y="3976699"/>
          <a:ext cx="182474" cy="12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228343</xdr:colOff>
      <xdr:row>18</xdr:row>
      <xdr:rowOff>7672</xdr:rowOff>
    </xdr:from>
    <xdr:to>
      <xdr:col>28</xdr:col>
      <xdr:colOff>410817</xdr:colOff>
      <xdr:row>18</xdr:row>
      <xdr:rowOff>132522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727AE788-9709-4524-B89F-4ECA3B8734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6673" y="4374263"/>
          <a:ext cx="182474" cy="12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225288</xdr:colOff>
      <xdr:row>19</xdr:row>
      <xdr:rowOff>6620</xdr:rowOff>
    </xdr:from>
    <xdr:to>
      <xdr:col>28</xdr:col>
      <xdr:colOff>409292</xdr:colOff>
      <xdr:row>19</xdr:row>
      <xdr:rowOff>132517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3D7601B5-9D41-4CD3-9205-EA1CBC59EF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3618" y="4571994"/>
          <a:ext cx="184004" cy="1258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284922</xdr:colOff>
      <xdr:row>15</xdr:row>
      <xdr:rowOff>6629</xdr:rowOff>
    </xdr:from>
    <xdr:to>
      <xdr:col>22</xdr:col>
      <xdr:colOff>170752</xdr:colOff>
      <xdr:row>15</xdr:row>
      <xdr:rowOff>132526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E7F27C67-EE6B-42DB-ABE6-55D03B8A3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8348" y="3776872"/>
          <a:ext cx="184004" cy="1258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294606</xdr:colOff>
      <xdr:row>14</xdr:row>
      <xdr:rowOff>7680</xdr:rowOff>
    </xdr:from>
    <xdr:to>
      <xdr:col>22</xdr:col>
      <xdr:colOff>178906</xdr:colOff>
      <xdr:row>14</xdr:row>
      <xdr:rowOff>132530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ED0288A5-23FD-4956-B563-DB1B2A122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8032" y="3579141"/>
          <a:ext cx="182474" cy="12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3"/>
  <sheetViews>
    <sheetView tabSelected="1" zoomScale="79" zoomScaleNormal="79" workbookViewId="0">
      <selection activeCell="BS15" sqref="BS15"/>
    </sheetView>
  </sheetViews>
  <sheetFormatPr defaultColWidth="11.5546875" defaultRowHeight="14.4" x14ac:dyDescent="0.3"/>
  <cols>
    <col min="1" max="1" width="4.109375" customWidth="1"/>
    <col min="2" max="2" width="5.44140625" customWidth="1"/>
    <col min="3" max="3" width="11.44140625" customWidth="1"/>
    <col min="4" max="4" width="8.6640625" customWidth="1"/>
    <col min="5" max="7" width="4.33203125" customWidth="1"/>
    <col min="8" max="8" width="8.5546875" customWidth="1"/>
    <col min="9" max="9" width="2.109375" customWidth="1"/>
    <col min="10" max="10" width="6.5546875" customWidth="1"/>
    <col min="11" max="11" width="5.5546875" customWidth="1"/>
    <col min="12" max="12" width="6.5546875" customWidth="1"/>
    <col min="13" max="15" width="7.109375" customWidth="1"/>
    <col min="16" max="16" width="3.33203125" customWidth="1"/>
    <col min="17" max="18" width="2.109375" customWidth="1"/>
    <col min="19" max="19" width="5.44140625" customWidth="1"/>
    <col min="20" max="20" width="11.44140625" customWidth="1"/>
    <col min="21" max="21" width="8.6640625" customWidth="1"/>
    <col min="22" max="24" width="4.33203125" customWidth="1"/>
    <col min="25" max="25" width="8.5546875" customWidth="1"/>
    <col min="26" max="26" width="2.109375" customWidth="1"/>
    <col min="27" max="27" width="6.5546875" customWidth="1"/>
    <col min="28" max="28" width="5.5546875" customWidth="1"/>
    <col min="29" max="29" width="7.6640625" customWidth="1"/>
    <col min="30" max="32" width="7.109375" customWidth="1"/>
    <col min="33" max="33" width="3.33203125" customWidth="1"/>
    <col min="34" max="34" width="3.5546875" customWidth="1"/>
    <col min="35" max="35" width="2.109375" hidden="1" customWidth="1"/>
    <col min="36" max="36" width="5.44140625" hidden="1" customWidth="1"/>
    <col min="37" max="37" width="11.44140625" hidden="1" customWidth="1"/>
    <col min="38" max="38" width="8.6640625" hidden="1" customWidth="1"/>
    <col min="39" max="41" width="4.33203125" hidden="1" customWidth="1"/>
    <col min="42" max="42" width="8.5546875" hidden="1" customWidth="1"/>
    <col min="43" max="43" width="2.109375" hidden="1" customWidth="1"/>
    <col min="44" max="44" width="6.5546875" hidden="1" customWidth="1"/>
    <col min="45" max="45" width="5.5546875" hidden="1" customWidth="1"/>
    <col min="46" max="46" width="6.5546875" hidden="1" customWidth="1"/>
    <col min="47" max="49" width="7.109375" hidden="1" customWidth="1"/>
    <col min="50" max="50" width="3.33203125" hidden="1" customWidth="1"/>
    <col min="51" max="52" width="2.109375" hidden="1" customWidth="1"/>
    <col min="53" max="53" width="5.44140625" hidden="1" customWidth="1"/>
    <col min="54" max="54" width="11.44140625" hidden="1" customWidth="1"/>
    <col min="55" max="55" width="8.6640625" hidden="1" customWidth="1"/>
    <col min="56" max="58" width="4.33203125" hidden="1" customWidth="1"/>
    <col min="59" max="59" width="8.5546875" hidden="1" customWidth="1"/>
    <col min="60" max="60" width="2.109375" hidden="1" customWidth="1"/>
    <col min="61" max="61" width="6.5546875" hidden="1" customWidth="1"/>
    <col min="62" max="62" width="5.5546875" hidden="1" customWidth="1"/>
    <col min="63" max="63" width="6.5546875" hidden="1" customWidth="1"/>
    <col min="64" max="65" width="7.109375" hidden="1" customWidth="1"/>
    <col min="66" max="66" width="2.5546875" customWidth="1"/>
    <col min="67" max="67" width="3.33203125" customWidth="1"/>
    <col min="68" max="69" width="2.109375" customWidth="1"/>
    <col min="70" max="70" width="5.44140625" customWidth="1"/>
    <col min="71" max="71" width="11.44140625" customWidth="1"/>
    <col min="72" max="72" width="8.6640625" customWidth="1"/>
    <col min="73" max="75" width="4.33203125" customWidth="1"/>
    <col min="76" max="76" width="8.5546875" customWidth="1"/>
    <col min="77" max="77" width="2.109375" customWidth="1"/>
    <col min="78" max="78" width="6.5546875" customWidth="1"/>
    <col min="79" max="79" width="5.5546875" customWidth="1"/>
    <col min="80" max="80" width="6.5546875" customWidth="1"/>
    <col min="81" max="83" width="7.109375" customWidth="1"/>
    <col min="84" max="84" width="3.33203125" customWidth="1"/>
    <col min="85" max="86" width="2.109375" customWidth="1"/>
    <col min="87" max="87" width="5.44140625" customWidth="1"/>
    <col min="88" max="88" width="11.44140625" customWidth="1"/>
    <col min="89" max="89" width="8.6640625" customWidth="1"/>
    <col min="90" max="92" width="4.33203125" customWidth="1"/>
    <col min="93" max="93" width="8.5546875" customWidth="1"/>
    <col min="94" max="94" width="2.109375" customWidth="1"/>
    <col min="95" max="95" width="6.5546875" customWidth="1"/>
    <col min="96" max="96" width="5.5546875" customWidth="1"/>
    <col min="97" max="97" width="6.5546875" customWidth="1"/>
    <col min="98" max="100" width="7.109375" customWidth="1"/>
    <col min="101" max="102" width="3.33203125" customWidth="1"/>
    <col min="103" max="103" width="11.44140625" customWidth="1"/>
  </cols>
  <sheetData>
    <row r="1" spans="1:72" ht="15" customHeight="1" thickBot="1" x14ac:dyDescent="0.35">
      <c r="A1" s="27"/>
      <c r="B1" s="28" t="s">
        <v>93</v>
      </c>
      <c r="C1" s="28"/>
      <c r="D1" s="27"/>
      <c r="E1" s="27"/>
      <c r="F1" s="27"/>
      <c r="G1" s="27"/>
      <c r="H1" s="27"/>
      <c r="I1" s="27"/>
      <c r="J1" s="27"/>
      <c r="K1" s="27"/>
      <c r="L1" s="152" t="s">
        <v>96</v>
      </c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72" ht="18" customHeight="1" thickBot="1" x14ac:dyDescent="0.45">
      <c r="A2" s="27"/>
      <c r="B2" s="135"/>
      <c r="C2" s="29" t="s">
        <v>95</v>
      </c>
      <c r="D2" s="27"/>
      <c r="E2" s="27"/>
      <c r="F2" s="27"/>
      <c r="G2" s="135"/>
      <c r="H2" s="29" t="s">
        <v>94</v>
      </c>
      <c r="I2" s="27"/>
      <c r="J2" s="27"/>
      <c r="K2" s="27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</row>
    <row r="3" spans="1:72" ht="14.4" customHeight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</row>
    <row r="4" spans="1:72" ht="14.4" customHeight="1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</row>
    <row r="5" spans="1:72" ht="15" customHeight="1" thickBot="1" x14ac:dyDescent="0.35">
      <c r="A5" s="33"/>
      <c r="B5" s="33"/>
      <c r="C5" s="33"/>
      <c r="D5" s="33"/>
      <c r="E5" s="33"/>
      <c r="F5" s="34"/>
      <c r="G5" s="33"/>
      <c r="H5" s="33"/>
      <c r="I5" s="33"/>
      <c r="J5" s="33"/>
      <c r="K5" s="33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</row>
    <row r="6" spans="1:72" ht="30" customHeight="1" thickBot="1" x14ac:dyDescent="0.35">
      <c r="A6" s="33"/>
      <c r="B6" s="157" t="s">
        <v>102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42"/>
      <c r="R6" s="42"/>
      <c r="S6" s="158" t="s">
        <v>103</v>
      </c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45"/>
    </row>
    <row r="7" spans="1:72" ht="21" customHeight="1" x14ac:dyDescent="0.3">
      <c r="A7" s="33"/>
      <c r="B7" s="153" t="s">
        <v>17</v>
      </c>
      <c r="C7" s="154"/>
      <c r="D7" s="154"/>
      <c r="E7" s="154"/>
      <c r="F7" s="154"/>
      <c r="G7" s="154"/>
      <c r="H7" s="154"/>
      <c r="I7" s="148" t="s">
        <v>116</v>
      </c>
      <c r="J7" s="148"/>
      <c r="K7" s="148"/>
      <c r="L7" s="148"/>
      <c r="M7" s="148"/>
      <c r="N7" s="148"/>
      <c r="O7" s="148"/>
      <c r="P7" s="149"/>
      <c r="Q7" s="42"/>
      <c r="R7" s="42"/>
      <c r="S7" s="153" t="s">
        <v>99</v>
      </c>
      <c r="T7" s="154"/>
      <c r="U7" s="154"/>
      <c r="V7" s="154"/>
      <c r="W7" s="154"/>
      <c r="X7" s="154"/>
      <c r="Y7" s="154"/>
      <c r="Z7" s="148" t="s">
        <v>118</v>
      </c>
      <c r="AA7" s="148"/>
      <c r="AB7" s="148"/>
      <c r="AC7" s="148"/>
      <c r="AD7" s="148"/>
      <c r="AE7" s="148"/>
      <c r="AF7" s="148"/>
      <c r="AG7" s="149"/>
      <c r="AH7" s="45"/>
    </row>
    <row r="8" spans="1:72" ht="21" customHeight="1" x14ac:dyDescent="0.3">
      <c r="A8" s="33"/>
      <c r="B8" s="155"/>
      <c r="C8" s="156"/>
      <c r="D8" s="156"/>
      <c r="E8" s="156"/>
      <c r="F8" s="156"/>
      <c r="G8" s="156"/>
      <c r="H8" s="156"/>
      <c r="I8" s="150"/>
      <c r="J8" s="150"/>
      <c r="K8" s="150"/>
      <c r="L8" s="150"/>
      <c r="M8" s="150"/>
      <c r="N8" s="150"/>
      <c r="O8" s="150"/>
      <c r="P8" s="151"/>
      <c r="Q8" s="42"/>
      <c r="R8" s="42"/>
      <c r="S8" s="155"/>
      <c r="T8" s="156"/>
      <c r="U8" s="156"/>
      <c r="V8" s="156"/>
      <c r="W8" s="156"/>
      <c r="X8" s="156"/>
      <c r="Y8" s="156"/>
      <c r="Z8" s="150"/>
      <c r="AA8" s="150"/>
      <c r="AB8" s="150"/>
      <c r="AC8" s="150"/>
      <c r="AD8" s="150"/>
      <c r="AE8" s="150"/>
      <c r="AF8" s="150"/>
      <c r="AG8" s="151"/>
      <c r="AH8" s="45"/>
    </row>
    <row r="9" spans="1:72" ht="29.4" customHeight="1" x14ac:dyDescent="0.45">
      <c r="A9" s="33"/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  <c r="Q9" s="42"/>
      <c r="R9" s="42"/>
      <c r="S9" s="30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2"/>
      <c r="AH9" s="45"/>
    </row>
    <row r="10" spans="1:72" ht="21" customHeight="1" x14ac:dyDescent="0.3">
      <c r="A10" s="33"/>
      <c r="B10" s="140" t="s">
        <v>27</v>
      </c>
      <c r="C10" s="141"/>
      <c r="D10" s="141"/>
      <c r="E10" s="141"/>
      <c r="F10" s="141"/>
      <c r="G10" s="141"/>
      <c r="H10" s="141"/>
      <c r="I10" s="144" t="s">
        <v>117</v>
      </c>
      <c r="J10" s="144"/>
      <c r="K10" s="144"/>
      <c r="L10" s="144"/>
      <c r="M10" s="144"/>
      <c r="N10" s="144"/>
      <c r="O10" s="144"/>
      <c r="P10" s="145"/>
      <c r="Q10" s="42"/>
      <c r="R10" s="42"/>
      <c r="S10" s="140" t="s">
        <v>114</v>
      </c>
      <c r="T10" s="141"/>
      <c r="U10" s="141"/>
      <c r="V10" s="141"/>
      <c r="W10" s="141"/>
      <c r="X10" s="141"/>
      <c r="Y10" s="141"/>
      <c r="Z10" s="144" t="s">
        <v>119</v>
      </c>
      <c r="AA10" s="144"/>
      <c r="AB10" s="144"/>
      <c r="AC10" s="144"/>
      <c r="AD10" s="144"/>
      <c r="AE10" s="144"/>
      <c r="AF10" s="144"/>
      <c r="AG10" s="145"/>
      <c r="AH10" s="45"/>
    </row>
    <row r="11" spans="1:72" ht="20.399999999999999" customHeight="1" thickBot="1" x14ac:dyDescent="0.35">
      <c r="A11" s="33"/>
      <c r="B11" s="142"/>
      <c r="C11" s="143"/>
      <c r="D11" s="143"/>
      <c r="E11" s="143"/>
      <c r="F11" s="143"/>
      <c r="G11" s="143"/>
      <c r="H11" s="143"/>
      <c r="I11" s="146"/>
      <c r="J11" s="146"/>
      <c r="K11" s="146"/>
      <c r="L11" s="146"/>
      <c r="M11" s="146"/>
      <c r="N11" s="146"/>
      <c r="O11" s="146"/>
      <c r="P11" s="147"/>
      <c r="Q11" s="42"/>
      <c r="R11" s="42"/>
      <c r="S11" s="142"/>
      <c r="T11" s="143"/>
      <c r="U11" s="143"/>
      <c r="V11" s="143"/>
      <c r="W11" s="143"/>
      <c r="X11" s="143"/>
      <c r="Y11" s="143"/>
      <c r="Z11" s="146"/>
      <c r="AA11" s="146"/>
      <c r="AB11" s="146"/>
      <c r="AC11" s="146"/>
      <c r="AD11" s="146"/>
      <c r="AE11" s="146"/>
      <c r="AF11" s="146"/>
      <c r="AG11" s="147"/>
      <c r="AH11" s="45"/>
    </row>
    <row r="12" spans="1:72" ht="15" thickBot="1" x14ac:dyDescent="0.35">
      <c r="A12" s="33"/>
      <c r="B12" s="37"/>
      <c r="C12" s="38"/>
      <c r="D12" s="38"/>
      <c r="E12" s="39"/>
      <c r="F12" s="39"/>
      <c r="G12" s="39"/>
      <c r="H12" s="39"/>
      <c r="I12" s="33"/>
      <c r="J12" s="33"/>
      <c r="K12" s="40"/>
      <c r="L12" s="38"/>
      <c r="M12" s="41"/>
      <c r="N12" s="41"/>
      <c r="O12" s="41"/>
      <c r="P12" s="41"/>
      <c r="Q12" s="42"/>
      <c r="R12" s="42"/>
      <c r="S12" s="43"/>
      <c r="T12" s="44"/>
      <c r="U12" s="44"/>
      <c r="V12" s="41"/>
      <c r="W12" s="36"/>
      <c r="X12" s="36"/>
      <c r="Y12" s="36"/>
      <c r="Z12" s="45"/>
      <c r="AA12" s="45"/>
      <c r="AB12" s="36"/>
      <c r="AC12" s="46"/>
      <c r="AD12" s="36"/>
      <c r="AE12" s="36"/>
      <c r="AF12" s="36"/>
      <c r="AG12" s="36"/>
      <c r="AH12" s="45"/>
    </row>
    <row r="13" spans="1:72" ht="30" customHeight="1" x14ac:dyDescent="0.3">
      <c r="A13" s="33"/>
      <c r="B13" s="158" t="s">
        <v>20</v>
      </c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42"/>
      <c r="R13" s="42"/>
      <c r="S13" s="158" t="s">
        <v>21</v>
      </c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45"/>
    </row>
    <row r="14" spans="1:72" x14ac:dyDescent="0.3">
      <c r="A14" s="33"/>
      <c r="B14" s="53" t="s">
        <v>22</v>
      </c>
      <c r="C14" s="54" t="s">
        <v>23</v>
      </c>
      <c r="D14" s="54" t="s">
        <v>24</v>
      </c>
      <c r="E14" s="54"/>
      <c r="F14" s="164" t="s">
        <v>25</v>
      </c>
      <c r="G14" s="164"/>
      <c r="H14" s="164"/>
      <c r="I14" s="164"/>
      <c r="J14" s="164"/>
      <c r="K14" s="164"/>
      <c r="L14" s="164"/>
      <c r="M14" s="55"/>
      <c r="N14" s="56" t="s">
        <v>8</v>
      </c>
      <c r="O14" s="55"/>
      <c r="P14" s="26"/>
      <c r="Q14" s="42"/>
      <c r="R14" s="42"/>
      <c r="S14" s="69" t="s">
        <v>22</v>
      </c>
      <c r="T14" s="70" t="s">
        <v>23</v>
      </c>
      <c r="U14" s="70" t="s">
        <v>24</v>
      </c>
      <c r="V14" s="71"/>
      <c r="W14" s="165" t="s">
        <v>25</v>
      </c>
      <c r="X14" s="165"/>
      <c r="Y14" s="165"/>
      <c r="Z14" s="165"/>
      <c r="AA14" s="165"/>
      <c r="AB14" s="165"/>
      <c r="AC14" s="165"/>
      <c r="AD14" s="72"/>
      <c r="AE14" s="73" t="s">
        <v>8</v>
      </c>
      <c r="AF14" s="74"/>
      <c r="AG14" s="75"/>
      <c r="AH14" s="45"/>
    </row>
    <row r="15" spans="1:72" x14ac:dyDescent="0.3">
      <c r="A15" s="33"/>
      <c r="B15" s="57">
        <v>1</v>
      </c>
      <c r="C15" s="58">
        <v>42903</v>
      </c>
      <c r="D15" s="59">
        <v>0.75</v>
      </c>
      <c r="E15" s="60"/>
      <c r="F15" s="159" t="s">
        <v>17</v>
      </c>
      <c r="G15" s="159"/>
      <c r="H15" s="159"/>
      <c r="I15" s="61" t="s">
        <v>12</v>
      </c>
      <c r="J15" s="160" t="s">
        <v>97</v>
      </c>
      <c r="K15" s="160"/>
      <c r="L15" s="160"/>
      <c r="M15" s="136"/>
      <c r="N15" s="62" t="s">
        <v>12</v>
      </c>
      <c r="O15" s="136"/>
      <c r="P15" s="63"/>
      <c r="Q15" s="42"/>
      <c r="R15" s="42"/>
      <c r="S15" s="76">
        <v>3</v>
      </c>
      <c r="T15" s="77">
        <v>42904</v>
      </c>
      <c r="U15" s="78">
        <v>0.875</v>
      </c>
      <c r="V15" s="79"/>
      <c r="W15" s="161" t="s">
        <v>99</v>
      </c>
      <c r="X15" s="161"/>
      <c r="Y15" s="161"/>
      <c r="Z15" s="80" t="s">
        <v>12</v>
      </c>
      <c r="AA15" s="162" t="s">
        <v>100</v>
      </c>
      <c r="AB15" s="162"/>
      <c r="AC15" s="162"/>
      <c r="AD15" s="136"/>
      <c r="AE15" s="80" t="s">
        <v>12</v>
      </c>
      <c r="AF15" s="139"/>
      <c r="AG15" s="81"/>
      <c r="AH15" s="45"/>
    </row>
    <row r="16" spans="1:72" x14ac:dyDescent="0.3">
      <c r="A16" s="33"/>
      <c r="B16" s="57">
        <v>2</v>
      </c>
      <c r="C16" s="58">
        <v>42904</v>
      </c>
      <c r="D16" s="59">
        <v>0.75</v>
      </c>
      <c r="E16" s="60"/>
      <c r="F16" s="159" t="s">
        <v>27</v>
      </c>
      <c r="G16" s="159"/>
      <c r="H16" s="159"/>
      <c r="I16" s="61" t="s">
        <v>12</v>
      </c>
      <c r="J16" s="160" t="s">
        <v>98</v>
      </c>
      <c r="K16" s="160"/>
      <c r="L16" s="160"/>
      <c r="M16" s="136"/>
      <c r="N16" s="62" t="s">
        <v>12</v>
      </c>
      <c r="O16" s="136"/>
      <c r="P16" s="63"/>
      <c r="Q16" s="42"/>
      <c r="R16" s="42"/>
      <c r="S16" s="76">
        <v>4</v>
      </c>
      <c r="T16" s="77">
        <v>42905</v>
      </c>
      <c r="U16" s="78">
        <v>0.75</v>
      </c>
      <c r="V16" s="79"/>
      <c r="W16" s="161" t="s">
        <v>101</v>
      </c>
      <c r="X16" s="161"/>
      <c r="Y16" s="161"/>
      <c r="Z16" s="80" t="s">
        <v>12</v>
      </c>
      <c r="AA16" s="162" t="s">
        <v>26</v>
      </c>
      <c r="AB16" s="162"/>
      <c r="AC16" s="162"/>
      <c r="AD16" s="136"/>
      <c r="AE16" s="80" t="s">
        <v>12</v>
      </c>
      <c r="AF16" s="139"/>
      <c r="AG16" s="81"/>
      <c r="AH16" s="45"/>
      <c r="BT16" s="134"/>
    </row>
    <row r="17" spans="1:34" x14ac:dyDescent="0.3">
      <c r="A17" s="33"/>
      <c r="B17" s="57">
        <v>5</v>
      </c>
      <c r="C17" s="58">
        <v>42907</v>
      </c>
      <c r="D17" s="59">
        <v>0.75</v>
      </c>
      <c r="E17" s="60"/>
      <c r="F17" s="159" t="s">
        <v>17</v>
      </c>
      <c r="G17" s="159"/>
      <c r="H17" s="159"/>
      <c r="I17" s="61" t="s">
        <v>12</v>
      </c>
      <c r="J17" s="160" t="s">
        <v>27</v>
      </c>
      <c r="K17" s="160"/>
      <c r="L17" s="160"/>
      <c r="M17" s="137"/>
      <c r="N17" s="62" t="s">
        <v>12</v>
      </c>
      <c r="O17" s="137"/>
      <c r="P17" s="63"/>
      <c r="Q17" s="42"/>
      <c r="R17" s="42"/>
      <c r="S17" s="76">
        <v>7</v>
      </c>
      <c r="T17" s="77">
        <v>42908</v>
      </c>
      <c r="U17" s="78">
        <v>0.75</v>
      </c>
      <c r="V17" s="79"/>
      <c r="W17" s="161" t="s">
        <v>99</v>
      </c>
      <c r="X17" s="161"/>
      <c r="Y17" s="161"/>
      <c r="Z17" s="80" t="s">
        <v>12</v>
      </c>
      <c r="AA17" s="162" t="s">
        <v>101</v>
      </c>
      <c r="AB17" s="162"/>
      <c r="AC17" s="162"/>
      <c r="AD17" s="137"/>
      <c r="AE17" s="80" t="s">
        <v>12</v>
      </c>
      <c r="AF17" s="139"/>
      <c r="AG17" s="81"/>
      <c r="AH17" s="45"/>
    </row>
    <row r="18" spans="1:34" x14ac:dyDescent="0.3">
      <c r="A18" s="33"/>
      <c r="B18" s="57">
        <v>6</v>
      </c>
      <c r="C18" s="58">
        <v>42907</v>
      </c>
      <c r="D18" s="59">
        <v>0.875</v>
      </c>
      <c r="E18" s="60"/>
      <c r="F18" s="159" t="s">
        <v>98</v>
      </c>
      <c r="G18" s="159"/>
      <c r="H18" s="159"/>
      <c r="I18" s="61" t="s">
        <v>12</v>
      </c>
      <c r="J18" s="160" t="s">
        <v>97</v>
      </c>
      <c r="K18" s="160"/>
      <c r="L18" s="160"/>
      <c r="M18" s="136"/>
      <c r="N18" s="62" t="s">
        <v>12</v>
      </c>
      <c r="O18" s="136"/>
      <c r="P18" s="63"/>
      <c r="Q18" s="42"/>
      <c r="R18" s="42"/>
      <c r="S18" s="76">
        <v>8</v>
      </c>
      <c r="T18" s="77">
        <v>42908</v>
      </c>
      <c r="U18" s="78">
        <v>0.875</v>
      </c>
      <c r="V18" s="79"/>
      <c r="W18" s="161" t="s">
        <v>26</v>
      </c>
      <c r="X18" s="161"/>
      <c r="Y18" s="161"/>
      <c r="Z18" s="82" t="s">
        <v>12</v>
      </c>
      <c r="AA18" s="162" t="s">
        <v>100</v>
      </c>
      <c r="AB18" s="163"/>
      <c r="AC18" s="163"/>
      <c r="AD18" s="136"/>
      <c r="AE18" s="80" t="s">
        <v>12</v>
      </c>
      <c r="AF18" s="139"/>
      <c r="AG18" s="81"/>
      <c r="AH18" s="45"/>
    </row>
    <row r="19" spans="1:34" x14ac:dyDescent="0.3">
      <c r="A19" s="33"/>
      <c r="B19" s="57">
        <v>9</v>
      </c>
      <c r="C19" s="58">
        <v>42910</v>
      </c>
      <c r="D19" s="59">
        <v>0.75</v>
      </c>
      <c r="E19" s="60"/>
      <c r="F19" s="159" t="s">
        <v>98</v>
      </c>
      <c r="G19" s="159"/>
      <c r="H19" s="159"/>
      <c r="I19" s="61" t="s">
        <v>12</v>
      </c>
      <c r="J19" s="178" t="s">
        <v>17</v>
      </c>
      <c r="K19" s="178"/>
      <c r="L19" s="178"/>
      <c r="M19" s="138"/>
      <c r="N19" s="62" t="s">
        <v>12</v>
      </c>
      <c r="O19" s="138"/>
      <c r="P19" s="63"/>
      <c r="Q19" s="42"/>
      <c r="R19" s="42"/>
      <c r="S19" s="76">
        <v>11</v>
      </c>
      <c r="T19" s="77">
        <v>42911</v>
      </c>
      <c r="U19" s="78">
        <v>0.75</v>
      </c>
      <c r="V19" s="79"/>
      <c r="W19" s="161" t="s">
        <v>26</v>
      </c>
      <c r="X19" s="161"/>
      <c r="Y19" s="161"/>
      <c r="Z19" s="80" t="s">
        <v>12</v>
      </c>
      <c r="AA19" s="162" t="s">
        <v>99</v>
      </c>
      <c r="AB19" s="162"/>
      <c r="AC19" s="162"/>
      <c r="AD19" s="138"/>
      <c r="AE19" s="80" t="s">
        <v>12</v>
      </c>
      <c r="AF19" s="139"/>
      <c r="AG19" s="81"/>
      <c r="AH19" s="45"/>
    </row>
    <row r="20" spans="1:34" x14ac:dyDescent="0.3">
      <c r="A20" s="33"/>
      <c r="B20" s="57">
        <v>10</v>
      </c>
      <c r="C20" s="58">
        <v>42910</v>
      </c>
      <c r="D20" s="59">
        <v>0.75</v>
      </c>
      <c r="E20" s="60"/>
      <c r="F20" s="159" t="s">
        <v>97</v>
      </c>
      <c r="G20" s="159"/>
      <c r="H20" s="159"/>
      <c r="I20" s="61" t="s">
        <v>12</v>
      </c>
      <c r="J20" s="160" t="s">
        <v>27</v>
      </c>
      <c r="K20" s="160"/>
      <c r="L20" s="160"/>
      <c r="M20" s="136"/>
      <c r="N20" s="62" t="s">
        <v>12</v>
      </c>
      <c r="O20" s="136"/>
      <c r="P20" s="63"/>
      <c r="Q20" s="42"/>
      <c r="R20" s="42"/>
      <c r="S20" s="76">
        <v>12</v>
      </c>
      <c r="T20" s="77">
        <v>42911</v>
      </c>
      <c r="U20" s="78">
        <v>0.75</v>
      </c>
      <c r="V20" s="79"/>
      <c r="W20" s="161" t="s">
        <v>100</v>
      </c>
      <c r="X20" s="161"/>
      <c r="Y20" s="161"/>
      <c r="Z20" s="80" t="s">
        <v>12</v>
      </c>
      <c r="AA20" s="162" t="s">
        <v>101</v>
      </c>
      <c r="AB20" s="162"/>
      <c r="AC20" s="162"/>
      <c r="AD20" s="136"/>
      <c r="AE20" s="80" t="s">
        <v>12</v>
      </c>
      <c r="AF20" s="139"/>
      <c r="AG20" s="81"/>
      <c r="AH20" s="45"/>
    </row>
    <row r="21" spans="1:34" ht="15" thickBot="1" x14ac:dyDescent="0.35">
      <c r="A21" s="33"/>
      <c r="B21" s="64"/>
      <c r="C21" s="65"/>
      <c r="D21" s="65"/>
      <c r="E21" s="66"/>
      <c r="F21" s="66"/>
      <c r="G21" s="66"/>
      <c r="H21" s="66"/>
      <c r="I21" s="65"/>
      <c r="J21" s="65"/>
      <c r="K21" s="65"/>
      <c r="L21" s="65"/>
      <c r="M21" s="67"/>
      <c r="N21" s="67"/>
      <c r="O21" s="67"/>
      <c r="P21" s="68"/>
      <c r="Q21" s="42"/>
      <c r="R21" s="42"/>
      <c r="S21" s="83"/>
      <c r="T21" s="67"/>
      <c r="U21" s="84"/>
      <c r="V21" s="67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6"/>
      <c r="AH21" s="45"/>
    </row>
    <row r="22" spans="1:34" ht="15" thickBot="1" x14ac:dyDescent="0.35">
      <c r="A22" s="33"/>
      <c r="B22" s="33"/>
      <c r="C22" s="33"/>
      <c r="D22" s="33"/>
      <c r="E22" s="185"/>
      <c r="F22" s="185"/>
      <c r="G22" s="33"/>
      <c r="H22" s="33"/>
      <c r="I22" s="33"/>
      <c r="J22" s="33"/>
      <c r="K22" s="49"/>
      <c r="L22" s="33"/>
      <c r="M22" s="42"/>
      <c r="N22" s="42"/>
      <c r="O22" s="42"/>
      <c r="P22" s="42"/>
      <c r="Q22" s="42"/>
      <c r="R22" s="42"/>
      <c r="S22" s="48"/>
      <c r="T22" s="48"/>
      <c r="U22" s="48"/>
      <c r="V22" s="48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</row>
    <row r="23" spans="1:34" ht="25.2" customHeight="1" x14ac:dyDescent="0.3">
      <c r="A23" s="33"/>
      <c r="B23" s="158" t="s">
        <v>0</v>
      </c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42"/>
      <c r="R23" s="42"/>
      <c r="S23" s="158" t="s">
        <v>1</v>
      </c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45"/>
    </row>
    <row r="24" spans="1:34" ht="15" customHeight="1" x14ac:dyDescent="0.3">
      <c r="A24" s="33"/>
      <c r="B24" s="87" t="s">
        <v>2</v>
      </c>
      <c r="C24" s="88" t="s">
        <v>3</v>
      </c>
      <c r="D24" s="88"/>
      <c r="E24" s="54" t="s">
        <v>4</v>
      </c>
      <c r="F24" s="54" t="s">
        <v>5</v>
      </c>
      <c r="G24" s="54" t="s">
        <v>6</v>
      </c>
      <c r="H24" s="89" t="s">
        <v>7</v>
      </c>
      <c r="I24" s="88"/>
      <c r="J24" s="88"/>
      <c r="K24" s="88" t="s">
        <v>8</v>
      </c>
      <c r="L24" s="88"/>
      <c r="M24" s="56" t="s">
        <v>9</v>
      </c>
      <c r="N24" s="90" t="s">
        <v>10</v>
      </c>
      <c r="O24" s="56"/>
      <c r="P24" s="91"/>
      <c r="Q24" s="42"/>
      <c r="R24" s="42"/>
      <c r="S24" s="109"/>
      <c r="T24" s="56"/>
      <c r="U24" s="56"/>
      <c r="V24" s="56" t="s">
        <v>4</v>
      </c>
      <c r="W24" s="110" t="s">
        <v>5</v>
      </c>
      <c r="X24" s="110" t="s">
        <v>6</v>
      </c>
      <c r="Y24" s="111" t="s">
        <v>7</v>
      </c>
      <c r="Z24" s="110"/>
      <c r="AA24" s="110"/>
      <c r="AB24" s="110" t="s">
        <v>8</v>
      </c>
      <c r="AC24" s="110"/>
      <c r="AD24" s="110" t="s">
        <v>9</v>
      </c>
      <c r="AE24" s="110" t="s">
        <v>10</v>
      </c>
      <c r="AF24" s="110"/>
      <c r="AG24" s="112"/>
      <c r="AH24" s="45"/>
    </row>
    <row r="25" spans="1:34" ht="15" customHeight="1" x14ac:dyDescent="0.3">
      <c r="A25" s="33"/>
      <c r="B25" s="92" t="s">
        <v>11</v>
      </c>
      <c r="C25" s="93" t="str">
        <f>VLOOKUP(1,Gruppen!$A$6:$L$9,2,FALSE)</f>
        <v>Russland</v>
      </c>
      <c r="D25" s="94"/>
      <c r="E25" s="95">
        <f>VLOOKUP(1,Gruppen!$A$6:$L$9,3,FALSE)</f>
        <v>0</v>
      </c>
      <c r="F25" s="95">
        <f>VLOOKUP(1,Gruppen!$A$6:$L$9,4,FALSE)</f>
        <v>0</v>
      </c>
      <c r="G25" s="95">
        <f>VLOOKUP(1,Gruppen!$A$6:$L$9,5,FALSE)</f>
        <v>0</v>
      </c>
      <c r="H25" s="95" t="str">
        <f>VLOOKUP(1,Gruppen!$A$6:$L$9,6,FALSE)</f>
        <v xml:space="preserve">0         </v>
      </c>
      <c r="I25" s="96"/>
      <c r="J25" s="96">
        <f>VLOOKUP(1,Gruppen!$A$6:$L$9,7,FALSE)</f>
        <v>0</v>
      </c>
      <c r="K25" s="97" t="s">
        <v>12</v>
      </c>
      <c r="L25" s="93">
        <f>VLOOKUP(1,Gruppen!$A$6:$L$9,9,FALSE)</f>
        <v>0</v>
      </c>
      <c r="M25" s="98">
        <f>VLOOKUP(1,Gruppen!$A$6:$L$9,10,FALSE)</f>
        <v>0</v>
      </c>
      <c r="N25" s="98">
        <f>VLOOKUP(1,Gruppen!$A$6:$L$9,11,FALSE)</f>
        <v>0</v>
      </c>
      <c r="O25" s="98"/>
      <c r="P25" s="99"/>
      <c r="Q25" s="42"/>
      <c r="R25" s="42"/>
      <c r="S25" s="113" t="s">
        <v>11</v>
      </c>
      <c r="T25" s="183" t="str">
        <f>VLOOKUP(1,Gruppen!$A$12:$L$15,2,FALSE)</f>
        <v>Kamerun</v>
      </c>
      <c r="U25" s="183"/>
      <c r="V25" s="98">
        <f>VLOOKUP(1,Gruppen!$A$12:$L$15,3,FALSE)</f>
        <v>0</v>
      </c>
      <c r="W25" s="114">
        <f>VLOOKUP(1,Gruppen!$A$12:$L$15,4,FALSE)</f>
        <v>0</v>
      </c>
      <c r="X25" s="114">
        <f>VLOOKUP(1,Gruppen!$A$12:$L$15,5,FALSE)</f>
        <v>0</v>
      </c>
      <c r="Y25" s="114" t="str">
        <f>VLOOKUP(1,Gruppen!$A$12:$L$15,6,FALSE)</f>
        <v xml:space="preserve">0         </v>
      </c>
      <c r="Z25" s="115"/>
      <c r="AA25" s="115">
        <f>VLOOKUP(1,Gruppen!$A$12:$L$15,7,FALSE)</f>
        <v>0</v>
      </c>
      <c r="AB25" s="114" t="s">
        <v>12</v>
      </c>
      <c r="AC25" s="116">
        <f>VLOOKUP(1,Gruppen!$A$12:$L$15,9,FALSE)</f>
        <v>0</v>
      </c>
      <c r="AD25" s="114">
        <f>VLOOKUP(1,Gruppen!$A$12:$L$15,10,FALSE)</f>
        <v>0</v>
      </c>
      <c r="AE25" s="114">
        <f>VLOOKUP(1,Gruppen!$A$12:$L$15,11,FALSE)</f>
        <v>0</v>
      </c>
      <c r="AF25" s="114"/>
      <c r="AG25" s="117"/>
      <c r="AH25" s="45"/>
    </row>
    <row r="26" spans="1:34" ht="15.75" customHeight="1" x14ac:dyDescent="0.3">
      <c r="A26" s="33"/>
      <c r="B26" s="100" t="s">
        <v>14</v>
      </c>
      <c r="C26" s="93" t="str">
        <f>VLOOKUP(2,Gruppen!$A$6:$L$9,2,FALSE)</f>
        <v>Neuseeland</v>
      </c>
      <c r="D26" s="94"/>
      <c r="E26" s="95">
        <f>VLOOKUP(2,Gruppen!$A$6:$L$9,3,FALSE)</f>
        <v>0</v>
      </c>
      <c r="F26" s="95">
        <f>VLOOKUP(2,Gruppen!$A$6:$L$9,4,FALSE)</f>
        <v>0</v>
      </c>
      <c r="G26" s="95">
        <f>VLOOKUP(2,Gruppen!$A$6:$L$9,5,FALSE)</f>
        <v>0</v>
      </c>
      <c r="H26" s="95" t="str">
        <f>VLOOKUP(2,Gruppen!$A$6:$L$9,6,FALSE)</f>
        <v xml:space="preserve">0         </v>
      </c>
      <c r="I26" s="96"/>
      <c r="J26" s="96">
        <f>VLOOKUP(2,Gruppen!$A$6:$L$9,7,FALSE)</f>
        <v>0</v>
      </c>
      <c r="K26" s="97" t="s">
        <v>12</v>
      </c>
      <c r="L26" s="93">
        <f>VLOOKUP(2,Gruppen!$A$6:$L$9,9,FALSE)</f>
        <v>0</v>
      </c>
      <c r="M26" s="98">
        <f>VLOOKUP(2,Gruppen!$A$6:$L$9,10,FALSE)</f>
        <v>0</v>
      </c>
      <c r="N26" s="98">
        <f>VLOOKUP(2,Gruppen!$A$6:$L$9,11,FALSE)</f>
        <v>0</v>
      </c>
      <c r="O26" s="98"/>
      <c r="P26" s="99"/>
      <c r="Q26" s="42"/>
      <c r="R26" s="42"/>
      <c r="S26" s="118" t="s">
        <v>14</v>
      </c>
      <c r="T26" s="184" t="str">
        <f>VLOOKUP(2,Gruppen!$A$12:$L$15,2,FALSE)</f>
        <v>Chile</v>
      </c>
      <c r="U26" s="184"/>
      <c r="V26" s="98">
        <f>VLOOKUP(2,Gruppen!$A$12:$L$15,3,FALSE)</f>
        <v>0</v>
      </c>
      <c r="W26" s="114">
        <f>VLOOKUP(2,Gruppen!$A$12:$L$15,4,FALSE)</f>
        <v>0</v>
      </c>
      <c r="X26" s="114">
        <f>VLOOKUP(2,Gruppen!$A$12:$L$15,5,FALSE)</f>
        <v>0</v>
      </c>
      <c r="Y26" s="114" t="str">
        <f>VLOOKUP(2,Gruppen!$A$12:$L$15,6,FALSE)</f>
        <v xml:space="preserve">0         </v>
      </c>
      <c r="Z26" s="115"/>
      <c r="AA26" s="115">
        <f>VLOOKUP(2,Gruppen!$A$12:$L$15,7,FALSE)</f>
        <v>0</v>
      </c>
      <c r="AB26" s="114" t="s">
        <v>12</v>
      </c>
      <c r="AC26" s="116">
        <f>VLOOKUP(2,Gruppen!$A$12:$L$15,9,FALSE)</f>
        <v>0</v>
      </c>
      <c r="AD26" s="114">
        <f>VLOOKUP(2,Gruppen!$A$12:$L$15,10,FALSE)</f>
        <v>0</v>
      </c>
      <c r="AE26" s="114">
        <f>VLOOKUP(2,Gruppen!$A$12:$L$15,11,FALSE)</f>
        <v>0</v>
      </c>
      <c r="AF26" s="114"/>
      <c r="AG26" s="119"/>
      <c r="AH26" s="45"/>
    </row>
    <row r="27" spans="1:34" x14ac:dyDescent="0.3">
      <c r="A27" s="33"/>
      <c r="B27" s="100" t="s">
        <v>16</v>
      </c>
      <c r="C27" s="93" t="str">
        <f>VLOOKUP(3,Gruppen!$A$6:$L$9,2,FALSE)</f>
        <v>Portugal</v>
      </c>
      <c r="D27" s="94"/>
      <c r="E27" s="95">
        <f>VLOOKUP(3,Gruppen!$A$6:$L$9,3,FALSE)</f>
        <v>0</v>
      </c>
      <c r="F27" s="95">
        <f>VLOOKUP(3,Gruppen!$A$6:$L$9,4,FALSE)</f>
        <v>0</v>
      </c>
      <c r="G27" s="95">
        <f>VLOOKUP(3,Gruppen!$A$6:$L$9,5,FALSE)</f>
        <v>0</v>
      </c>
      <c r="H27" s="95" t="str">
        <f>VLOOKUP(3,Gruppen!$A$6:$L$9,6,FALSE)</f>
        <v xml:space="preserve">0         </v>
      </c>
      <c r="I27" s="96"/>
      <c r="J27" s="96">
        <f>VLOOKUP(3,Gruppen!$A$6:$L$9,7,FALSE)</f>
        <v>0</v>
      </c>
      <c r="K27" s="97" t="s">
        <v>12</v>
      </c>
      <c r="L27" s="93">
        <f>VLOOKUP(3,Gruppen!$A$6:$L$9,9,FALSE)</f>
        <v>0</v>
      </c>
      <c r="M27" s="98">
        <f>VLOOKUP(3,Gruppen!$A$6:$L$9,10,FALSE)</f>
        <v>0</v>
      </c>
      <c r="N27" s="98">
        <f>VLOOKUP(3,Gruppen!$A$6:$L$9,11,FALSE)</f>
        <v>0</v>
      </c>
      <c r="O27" s="98"/>
      <c r="P27" s="101"/>
      <c r="Q27" s="42"/>
      <c r="R27" s="42"/>
      <c r="S27" s="118" t="s">
        <v>16</v>
      </c>
      <c r="T27" s="184" t="str">
        <f>VLOOKUP(3,Gruppen!$A$12:$L$15,2,FALSE)</f>
        <v>Australien</v>
      </c>
      <c r="U27" s="184"/>
      <c r="V27" s="98">
        <f>VLOOKUP(3,Gruppen!$A$12:$L$15,3,FALSE)</f>
        <v>0</v>
      </c>
      <c r="W27" s="114">
        <f>VLOOKUP(3,Gruppen!$A$12:$L$15,4,FALSE)</f>
        <v>0</v>
      </c>
      <c r="X27" s="114">
        <f>VLOOKUP(3,Gruppen!$A$12:$L$15,5,FALSE)</f>
        <v>0</v>
      </c>
      <c r="Y27" s="114" t="str">
        <f>VLOOKUP(3,Gruppen!$A$12:$L$15,6,FALSE)</f>
        <v xml:space="preserve">0         </v>
      </c>
      <c r="Z27" s="115"/>
      <c r="AA27" s="115">
        <f>VLOOKUP(3,Gruppen!$A$12:$L$15,7,FALSE)</f>
        <v>0</v>
      </c>
      <c r="AB27" s="114" t="s">
        <v>12</v>
      </c>
      <c r="AC27" s="116">
        <f>VLOOKUP(3,Gruppen!$A$12:$L$15,9,FALSE)</f>
        <v>0</v>
      </c>
      <c r="AD27" s="114">
        <f>VLOOKUP(3,Gruppen!$A$12:$L$15,10,FALSE)</f>
        <v>0</v>
      </c>
      <c r="AE27" s="114">
        <f>VLOOKUP(3,Gruppen!$A$12:$L$15,11,FALSE)</f>
        <v>0</v>
      </c>
      <c r="AF27" s="114"/>
      <c r="AG27" s="119"/>
      <c r="AH27" s="45"/>
    </row>
    <row r="28" spans="1:34" ht="15.75" customHeight="1" thickBot="1" x14ac:dyDescent="0.35">
      <c r="A28" s="33"/>
      <c r="B28" s="102" t="s">
        <v>18</v>
      </c>
      <c r="C28" s="103" t="str">
        <f>VLOOKUP(4,Gruppen!$A$6:$L$9,2,FALSE)</f>
        <v>Mexiko</v>
      </c>
      <c r="D28" s="104"/>
      <c r="E28" s="105">
        <f>VLOOKUP(4,Gruppen!$A$6:$L$9,3,FALSE)</f>
        <v>0</v>
      </c>
      <c r="F28" s="105">
        <f>VLOOKUP(4,Gruppen!$A$6:$L$9,4,FALSE)</f>
        <v>0</v>
      </c>
      <c r="G28" s="105">
        <f>VLOOKUP(4,Gruppen!$A$6:$L$9,5,FALSE)</f>
        <v>0</v>
      </c>
      <c r="H28" s="105" t="str">
        <f>VLOOKUP(4,Gruppen!$A$6:$L$9,6,FALSE)</f>
        <v xml:space="preserve">0         </v>
      </c>
      <c r="I28" s="106"/>
      <c r="J28" s="106">
        <f>VLOOKUP(4,Gruppen!$A$6:$L$9,7,FALSE)</f>
        <v>0</v>
      </c>
      <c r="K28" s="107" t="s">
        <v>12</v>
      </c>
      <c r="L28" s="103">
        <f>VLOOKUP(4,Gruppen!$A$6:$L$9,9,FALSE)</f>
        <v>0</v>
      </c>
      <c r="M28" s="108">
        <f>VLOOKUP(4,Gruppen!$A$6:$L$9,10,FALSE)</f>
        <v>0</v>
      </c>
      <c r="N28" s="108">
        <f>VLOOKUP(4,Gruppen!$A$6:$L$9,11,FALSE)</f>
        <v>0</v>
      </c>
      <c r="O28" s="108"/>
      <c r="P28" s="68"/>
      <c r="Q28" s="42"/>
      <c r="R28" s="42"/>
      <c r="S28" s="120" t="s">
        <v>18</v>
      </c>
      <c r="T28" s="181" t="str">
        <f>VLOOKUP(4,Gruppen!$A$12:$L$15,2,FALSE)</f>
        <v>Deutschland</v>
      </c>
      <c r="U28" s="181"/>
      <c r="V28" s="108">
        <f>VLOOKUP(4,Gruppen!$A$12:$L$15,3,FALSE)</f>
        <v>0</v>
      </c>
      <c r="W28" s="121">
        <f>VLOOKUP(4,Gruppen!$A$12:$L$15,4,FALSE)</f>
        <v>0</v>
      </c>
      <c r="X28" s="121">
        <f>VLOOKUP(4,Gruppen!$A$12:$L$15,5,FALSE)</f>
        <v>0</v>
      </c>
      <c r="Y28" s="121" t="str">
        <f>VLOOKUP(4,Gruppen!$A$12:$L$15,6,FALSE)</f>
        <v xml:space="preserve">0         </v>
      </c>
      <c r="Z28" s="122"/>
      <c r="AA28" s="122">
        <f>VLOOKUP(4,Gruppen!$A$12:$L$15,7,FALSE)</f>
        <v>0</v>
      </c>
      <c r="AB28" s="121" t="s">
        <v>12</v>
      </c>
      <c r="AC28" s="123">
        <f>VLOOKUP(4,Gruppen!$A$12:$L$15,9,FALSE)</f>
        <v>0</v>
      </c>
      <c r="AD28" s="121">
        <f>VLOOKUP(4,Gruppen!$A$12:$L$15,10,FALSE)</f>
        <v>0</v>
      </c>
      <c r="AE28" s="121">
        <f>VLOOKUP(4,Gruppen!$A$12:$L$15,11,FALSE)</f>
        <v>0</v>
      </c>
      <c r="AF28" s="121"/>
      <c r="AG28" s="86"/>
      <c r="AH28" s="45"/>
    </row>
    <row r="29" spans="1:34" ht="15.75" customHeight="1" x14ac:dyDescent="0.3">
      <c r="A29" s="33"/>
      <c r="B29" s="37"/>
      <c r="C29" s="38"/>
      <c r="D29" s="38"/>
      <c r="E29" s="40"/>
      <c r="F29" s="40"/>
      <c r="G29" s="40"/>
      <c r="H29" s="40"/>
      <c r="I29" s="33"/>
      <c r="J29" s="33"/>
      <c r="K29" s="40"/>
      <c r="L29" s="38"/>
      <c r="M29" s="42"/>
      <c r="N29" s="42"/>
      <c r="O29" s="41"/>
      <c r="P29" s="42"/>
      <c r="Q29" s="42"/>
      <c r="R29" s="42"/>
      <c r="S29" s="43"/>
      <c r="T29" s="44"/>
      <c r="U29" s="44"/>
      <c r="V29" s="41"/>
      <c r="W29" s="36"/>
      <c r="X29" s="36"/>
      <c r="Y29" s="36"/>
      <c r="Z29" s="45"/>
      <c r="AA29" s="45"/>
      <c r="AB29" s="36"/>
      <c r="AC29" s="46"/>
      <c r="AD29" s="36"/>
      <c r="AE29" s="36"/>
      <c r="AF29" s="36"/>
      <c r="AG29" s="45"/>
      <c r="AH29" s="45"/>
    </row>
    <row r="30" spans="1:34" ht="15.75" customHeight="1" x14ac:dyDescent="0.3">
      <c r="A30" s="33"/>
      <c r="B30" s="176" t="s">
        <v>28</v>
      </c>
      <c r="C30" s="176"/>
      <c r="D30" s="176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45"/>
      <c r="R30" s="45"/>
      <c r="S30" s="45"/>
      <c r="T30" s="45"/>
      <c r="U30" s="45"/>
      <c r="V30" s="45"/>
      <c r="W30" s="45"/>
      <c r="X30" s="45"/>
      <c r="Y30" s="45"/>
      <c r="Z30" s="47"/>
      <c r="AA30" s="47"/>
      <c r="AB30" s="47"/>
      <c r="AC30" s="47"/>
      <c r="AD30" s="47"/>
      <c r="AE30" s="47"/>
      <c r="AF30" s="47"/>
      <c r="AG30" s="47"/>
      <c r="AH30" s="47"/>
    </row>
    <row r="31" spans="1:34" ht="15.75" customHeight="1" x14ac:dyDescent="0.3">
      <c r="A31" s="33"/>
      <c r="B31" s="176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</row>
    <row r="32" spans="1:34" x14ac:dyDescent="0.3">
      <c r="A32" s="33"/>
      <c r="B32" s="124" t="s">
        <v>22</v>
      </c>
      <c r="C32" s="56" t="s">
        <v>23</v>
      </c>
      <c r="D32" s="56" t="s">
        <v>24</v>
      </c>
      <c r="E32" s="125"/>
      <c r="F32" s="126"/>
      <c r="G32" s="126"/>
      <c r="H32" s="127"/>
      <c r="I32" s="110" t="s">
        <v>25</v>
      </c>
      <c r="J32" s="127"/>
      <c r="K32" s="127"/>
      <c r="L32" s="126"/>
      <c r="M32" s="126"/>
      <c r="N32" s="110" t="s">
        <v>8</v>
      </c>
      <c r="O32" s="74"/>
      <c r="P32" s="81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</row>
    <row r="33" spans="1:69" ht="15" thickBot="1" x14ac:dyDescent="0.35">
      <c r="A33" s="33"/>
      <c r="B33" s="128">
        <v>13</v>
      </c>
      <c r="C33" s="129">
        <v>42914</v>
      </c>
      <c r="D33" s="130">
        <v>0.875</v>
      </c>
      <c r="E33" s="79"/>
      <c r="F33" s="179" t="str">
        <f>IF(SUM(E25:E28)=12,C25,"Erster Gruppe A")</f>
        <v>Erster Gruppe A</v>
      </c>
      <c r="G33" s="179"/>
      <c r="H33" s="179"/>
      <c r="I33" s="131" t="s">
        <v>12</v>
      </c>
      <c r="J33" s="180" t="str">
        <f>IF(SUM(V25:V28)=12,T26,"Zweiter Gruppe B")</f>
        <v>Zweiter Gruppe B</v>
      </c>
      <c r="K33" s="180"/>
      <c r="L33" s="180"/>
      <c r="M33" s="139"/>
      <c r="N33" s="80" t="s">
        <v>12</v>
      </c>
      <c r="O33" s="139"/>
      <c r="P33" s="81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</row>
    <row r="34" spans="1:69" ht="14.4" customHeight="1" x14ac:dyDescent="0.3">
      <c r="A34" s="33"/>
      <c r="B34" s="128">
        <v>14</v>
      </c>
      <c r="C34" s="129">
        <v>42915</v>
      </c>
      <c r="D34" s="130">
        <v>0.875</v>
      </c>
      <c r="E34" s="79"/>
      <c r="F34" s="179" t="str">
        <f>IF(SUM(V25:V28)=12,T25,"Erster Gruppe B")</f>
        <v>Erster Gruppe B</v>
      </c>
      <c r="G34" s="179"/>
      <c r="H34" s="179"/>
      <c r="I34" s="131" t="s">
        <v>12</v>
      </c>
      <c r="J34" s="180" t="str">
        <f>IF(SUM(E25:E28)=12,C26,"Zweiter Gruppe A")</f>
        <v>Zweiter Gruppe A</v>
      </c>
      <c r="K34" s="180"/>
      <c r="L34" s="180"/>
      <c r="M34" s="139"/>
      <c r="N34" s="80" t="s">
        <v>12</v>
      </c>
      <c r="O34" s="139"/>
      <c r="P34" s="81"/>
      <c r="Q34" s="47"/>
      <c r="R34" s="47"/>
      <c r="S34" s="47"/>
      <c r="T34" s="47"/>
      <c r="U34" s="172" t="s">
        <v>104</v>
      </c>
      <c r="V34" s="173"/>
      <c r="W34" s="173"/>
      <c r="X34" s="173"/>
      <c r="Y34" s="173"/>
      <c r="Z34" s="173"/>
      <c r="AA34" s="173"/>
      <c r="AB34" s="173"/>
      <c r="AC34" s="173"/>
      <c r="AD34" s="173"/>
      <c r="AE34" s="174"/>
      <c r="AF34" s="47"/>
      <c r="AG34" s="47"/>
      <c r="AH34" s="47"/>
    </row>
    <row r="35" spans="1:69" ht="15" customHeight="1" thickBot="1" x14ac:dyDescent="0.35">
      <c r="A35" s="33"/>
      <c r="B35" s="83"/>
      <c r="C35" s="67"/>
      <c r="D35" s="67"/>
      <c r="E35" s="67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6"/>
      <c r="Q35" s="47"/>
      <c r="R35" s="47"/>
      <c r="S35" s="47"/>
      <c r="T35" s="47"/>
      <c r="U35" s="175"/>
      <c r="V35" s="176"/>
      <c r="W35" s="176"/>
      <c r="X35" s="176"/>
      <c r="Y35" s="176"/>
      <c r="Z35" s="176"/>
      <c r="AA35" s="176"/>
      <c r="AB35" s="176"/>
      <c r="AC35" s="176"/>
      <c r="AD35" s="176"/>
      <c r="AE35" s="177"/>
      <c r="AF35" s="47"/>
      <c r="AG35" s="47"/>
      <c r="AH35" s="47"/>
    </row>
    <row r="36" spans="1:69" ht="15" customHeight="1" thickBot="1" x14ac:dyDescent="0.35">
      <c r="A36" s="33"/>
      <c r="B36" s="42"/>
      <c r="C36" s="42"/>
      <c r="D36" s="42"/>
      <c r="E36" s="42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7"/>
      <c r="R36" s="47"/>
      <c r="S36" s="47"/>
      <c r="T36" s="47"/>
      <c r="U36" s="166" t="str">
        <f>IF(AND(M46&lt;&gt;"",O46&lt;&gt;""),IF(M46=O46,"Fehler in Spiel 51",IF(M46&gt;O46,F46,J46)),"")</f>
        <v/>
      </c>
      <c r="V36" s="167"/>
      <c r="W36" s="167"/>
      <c r="X36" s="167"/>
      <c r="Y36" s="167"/>
      <c r="Z36" s="167"/>
      <c r="AA36" s="167"/>
      <c r="AB36" s="167"/>
      <c r="AC36" s="167"/>
      <c r="AD36" s="167"/>
      <c r="AE36" s="168"/>
      <c r="AF36" s="47"/>
      <c r="AG36" s="47"/>
      <c r="AH36" s="47"/>
    </row>
    <row r="37" spans="1:69" ht="15" customHeight="1" thickBot="1" x14ac:dyDescent="0.35">
      <c r="A37" s="33"/>
      <c r="B37" s="157" t="s">
        <v>105</v>
      </c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47"/>
      <c r="R37" s="47"/>
      <c r="S37" s="47"/>
      <c r="T37" s="47"/>
      <c r="U37" s="166"/>
      <c r="V37" s="167"/>
      <c r="W37" s="167"/>
      <c r="X37" s="167"/>
      <c r="Y37" s="167"/>
      <c r="Z37" s="167"/>
      <c r="AA37" s="167"/>
      <c r="AB37" s="167"/>
      <c r="AC37" s="167"/>
      <c r="AD37" s="167"/>
      <c r="AE37" s="168"/>
      <c r="AF37" s="47"/>
      <c r="AG37" s="47"/>
      <c r="AH37" s="47"/>
    </row>
    <row r="38" spans="1:69" ht="15" customHeight="1" thickBot="1" x14ac:dyDescent="0.35">
      <c r="A38" s="33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47"/>
      <c r="R38" s="47"/>
      <c r="S38" s="47"/>
      <c r="T38" s="47"/>
      <c r="U38" s="166"/>
      <c r="V38" s="167"/>
      <c r="W38" s="167"/>
      <c r="X38" s="167"/>
      <c r="Y38" s="167"/>
      <c r="Z38" s="167"/>
      <c r="AA38" s="167"/>
      <c r="AB38" s="167"/>
      <c r="AC38" s="167"/>
      <c r="AD38" s="167"/>
      <c r="AE38" s="168"/>
      <c r="AF38" s="47"/>
      <c r="AG38" s="47"/>
      <c r="AH38" s="47"/>
    </row>
    <row r="39" spans="1:69" ht="14.4" customHeight="1" x14ac:dyDescent="0.3">
      <c r="A39" s="33"/>
      <c r="B39" s="124" t="s">
        <v>22</v>
      </c>
      <c r="C39" s="56" t="s">
        <v>23</v>
      </c>
      <c r="D39" s="56" t="s">
        <v>24</v>
      </c>
      <c r="E39" s="125"/>
      <c r="F39" s="126"/>
      <c r="G39" s="126"/>
      <c r="H39" s="127"/>
      <c r="I39" s="110" t="s">
        <v>25</v>
      </c>
      <c r="J39" s="127"/>
      <c r="K39" s="127"/>
      <c r="L39" s="126"/>
      <c r="M39" s="126"/>
      <c r="N39" s="110" t="s">
        <v>8</v>
      </c>
      <c r="O39" s="74"/>
      <c r="P39" s="81"/>
      <c r="Q39" s="47"/>
      <c r="R39" s="47"/>
      <c r="S39" s="47"/>
      <c r="T39" s="47"/>
      <c r="U39" s="166"/>
      <c r="V39" s="167"/>
      <c r="W39" s="167"/>
      <c r="X39" s="167"/>
      <c r="Y39" s="167"/>
      <c r="Z39" s="167"/>
      <c r="AA39" s="167"/>
      <c r="AB39" s="167"/>
      <c r="AC39" s="167"/>
      <c r="AD39" s="167"/>
      <c r="AE39" s="168"/>
      <c r="AF39" s="47"/>
      <c r="AG39" s="47"/>
      <c r="AH39" s="47"/>
      <c r="BQ39" s="133"/>
    </row>
    <row r="40" spans="1:69" x14ac:dyDescent="0.3">
      <c r="A40" s="33"/>
      <c r="B40" s="128">
        <v>15</v>
      </c>
      <c r="C40" s="129">
        <v>42918</v>
      </c>
      <c r="D40" s="130">
        <v>0.625</v>
      </c>
      <c r="E40" s="79"/>
      <c r="F40" s="179" t="str">
        <f>IF(AND(M33&lt;&gt;"",O33&lt;&gt;""),IF(M33=O33,"Fehler in Spiel 13",IF(M33&lt;O33,F33,J33)),"Verlierer Spiel 13")</f>
        <v>Verlierer Spiel 13</v>
      </c>
      <c r="G40" s="179"/>
      <c r="H40" s="179"/>
      <c r="I40" s="131" t="s">
        <v>12</v>
      </c>
      <c r="J40" s="132" t="str">
        <f>IF(AND(M34&lt;&gt;"",O34&lt;&gt;""),IF(M34=O34,"Fehler in Spiel 14",IF(M34&lt;O34,F34,J34)),"Verlierer Spiel 14")</f>
        <v>Verlierer Spiel 14</v>
      </c>
      <c r="K40" s="132"/>
      <c r="L40" s="132"/>
      <c r="M40" s="139"/>
      <c r="N40" s="80" t="s">
        <v>12</v>
      </c>
      <c r="O40" s="139"/>
      <c r="P40" s="81"/>
      <c r="Q40" s="47"/>
      <c r="R40" s="47"/>
      <c r="S40" s="47"/>
      <c r="T40" s="47"/>
      <c r="U40" s="166"/>
      <c r="V40" s="167"/>
      <c r="W40" s="167"/>
      <c r="X40" s="167"/>
      <c r="Y40" s="167"/>
      <c r="Z40" s="167"/>
      <c r="AA40" s="167"/>
      <c r="AB40" s="167"/>
      <c r="AC40" s="167"/>
      <c r="AD40" s="167"/>
      <c r="AE40" s="168"/>
      <c r="AF40" s="47"/>
      <c r="AG40" s="47"/>
      <c r="AH40" s="47"/>
    </row>
    <row r="41" spans="1:69" ht="15" thickBot="1" x14ac:dyDescent="0.35">
      <c r="A41" s="33"/>
      <c r="B41" s="83"/>
      <c r="C41" s="67"/>
      <c r="D41" s="67"/>
      <c r="E41" s="67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6"/>
      <c r="Q41" s="47"/>
      <c r="R41" s="47"/>
      <c r="S41" s="47"/>
      <c r="T41" s="47"/>
      <c r="U41" s="166"/>
      <c r="V41" s="167"/>
      <c r="W41" s="167"/>
      <c r="X41" s="167"/>
      <c r="Y41" s="167"/>
      <c r="Z41" s="167"/>
      <c r="AA41" s="167"/>
      <c r="AB41" s="167"/>
      <c r="AC41" s="167"/>
      <c r="AD41" s="167"/>
      <c r="AE41" s="168"/>
      <c r="AF41" s="47"/>
      <c r="AG41" s="47"/>
      <c r="AH41" s="47"/>
    </row>
    <row r="42" spans="1:69" ht="15" thickBot="1" x14ac:dyDescent="0.3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42"/>
      <c r="N42" s="42"/>
      <c r="O42" s="42"/>
      <c r="P42" s="42"/>
      <c r="Q42" s="42"/>
      <c r="R42" s="42"/>
      <c r="S42" s="42"/>
      <c r="T42" s="42"/>
      <c r="U42" s="169"/>
      <c r="V42" s="170"/>
      <c r="W42" s="170"/>
      <c r="X42" s="170"/>
      <c r="Y42" s="170"/>
      <c r="Z42" s="170"/>
      <c r="AA42" s="170"/>
      <c r="AB42" s="170"/>
      <c r="AC42" s="170"/>
      <c r="AD42" s="170"/>
      <c r="AE42" s="171"/>
      <c r="AF42" s="45"/>
      <c r="AG42" s="45"/>
      <c r="AH42" s="45"/>
    </row>
    <row r="43" spans="1:69" ht="15" thickBot="1" x14ac:dyDescent="0.35">
      <c r="A43" s="33"/>
      <c r="B43" s="157" t="s">
        <v>29</v>
      </c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42"/>
      <c r="R43" s="42"/>
      <c r="S43" s="50"/>
      <c r="T43" s="50"/>
      <c r="U43" s="50"/>
      <c r="V43" s="42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</row>
    <row r="44" spans="1:69" ht="15" thickBot="1" x14ac:dyDescent="0.35">
      <c r="A44" s="33"/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47"/>
      <c r="R44" s="47"/>
      <c r="S44" s="47"/>
      <c r="T44" s="47"/>
      <c r="U44" s="42"/>
      <c r="V44" s="42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</row>
    <row r="45" spans="1:69" x14ac:dyDescent="0.3">
      <c r="A45" s="33"/>
      <c r="B45" s="124" t="s">
        <v>22</v>
      </c>
      <c r="C45" s="56" t="s">
        <v>23</v>
      </c>
      <c r="D45" s="56" t="s">
        <v>24</v>
      </c>
      <c r="E45" s="125"/>
      <c r="F45" s="126"/>
      <c r="G45" s="126"/>
      <c r="H45" s="127"/>
      <c r="I45" s="110" t="s">
        <v>25</v>
      </c>
      <c r="J45" s="127"/>
      <c r="K45" s="127"/>
      <c r="L45" s="126"/>
      <c r="M45" s="126"/>
      <c r="N45" s="110" t="s">
        <v>8</v>
      </c>
      <c r="O45" s="74"/>
      <c r="P45" s="81"/>
      <c r="Q45" s="47"/>
      <c r="R45" s="47"/>
      <c r="S45" s="47"/>
      <c r="T45" s="47"/>
      <c r="U45" s="42"/>
      <c r="V45" s="42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</row>
    <row r="46" spans="1:69" x14ac:dyDescent="0.3">
      <c r="A46" s="33"/>
      <c r="B46" s="128">
        <v>16</v>
      </c>
      <c r="C46" s="129">
        <v>42918</v>
      </c>
      <c r="D46" s="130">
        <v>0.875</v>
      </c>
      <c r="E46" s="79"/>
      <c r="F46" s="179" t="str">
        <f>IF(AND(M33&lt;&gt;"",O33&lt;&gt;""),IF(M33=O33,"Fehler in Spiel 13",IF(M33&gt;O33,F33,J33)),"Sieger Spiel 13")</f>
        <v>Sieger Spiel 13</v>
      </c>
      <c r="G46" s="179"/>
      <c r="H46" s="179"/>
      <c r="I46" s="131" t="s">
        <v>12</v>
      </c>
      <c r="J46" s="132" t="str">
        <f>IF(AND(M34&lt;&gt;"",O34&lt;&gt;""),IF(M34=O34,"Fehler in Spiel 14",IF(M34&gt;O34,F34,J34)),"Sieger Spiel 14")</f>
        <v>Sieger Spiel 14</v>
      </c>
      <c r="K46" s="132"/>
      <c r="L46" s="132"/>
      <c r="M46" s="139"/>
      <c r="N46" s="80" t="s">
        <v>12</v>
      </c>
      <c r="O46" s="139"/>
      <c r="P46" s="81"/>
      <c r="Q46" s="47"/>
      <c r="R46" s="47"/>
      <c r="S46" s="47"/>
      <c r="T46" s="47"/>
      <c r="U46" s="42"/>
      <c r="V46" s="42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</row>
    <row r="47" spans="1:69" ht="21.6" thickBot="1" x14ac:dyDescent="0.35">
      <c r="A47" s="33"/>
      <c r="B47" s="83"/>
      <c r="C47" s="67"/>
      <c r="D47" s="67"/>
      <c r="E47" s="67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6"/>
      <c r="Q47" s="47"/>
      <c r="R47" s="47"/>
      <c r="S47" s="47"/>
      <c r="T47" s="47"/>
      <c r="U47" s="51"/>
      <c r="V47" s="42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</row>
    <row r="48" spans="1:69" ht="21" x14ac:dyDescent="0.3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51"/>
      <c r="N48" s="47"/>
      <c r="O48" s="47"/>
      <c r="P48" s="47"/>
      <c r="Q48" s="47"/>
      <c r="R48" s="47"/>
      <c r="S48" s="47"/>
      <c r="T48" s="47"/>
      <c r="U48" s="51"/>
      <c r="V48" s="42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</row>
    <row r="49" spans="1:34" ht="21" x14ac:dyDescent="0.3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51"/>
      <c r="N49" s="47"/>
      <c r="O49" s="47"/>
      <c r="P49" s="47"/>
      <c r="Q49" s="47"/>
      <c r="R49" s="47"/>
      <c r="S49" s="47"/>
      <c r="T49" s="47"/>
      <c r="U49" s="52"/>
      <c r="V49" s="42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</row>
    <row r="50" spans="1:34" ht="21" x14ac:dyDescent="0.3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42"/>
      <c r="N50" s="42"/>
      <c r="O50" s="42"/>
      <c r="P50" s="42"/>
      <c r="Q50" s="42"/>
      <c r="R50" s="42"/>
      <c r="S50" s="52"/>
      <c r="T50" s="52"/>
      <c r="U50" s="51"/>
      <c r="V50" s="42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</row>
    <row r="53" spans="1:34" ht="15" customHeight="1" x14ac:dyDescent="0.3"/>
  </sheetData>
  <sheetProtection algorithmName="SHA-512" hashValue="M0wsJsK2csFOo3wP+/9IbhTwE2EJGi6FflGWsbk5o9fb3mUxxrMCDBl9ddnGXrtHztgposcDs21PNo3PRvRLSA==" saltValue="ep+MnA4a6XC11MFMBdT27Q==" spinCount="100000" sheet="1" objects="1" scenarios="1"/>
  <mergeCells count="58">
    <mergeCell ref="J20:L20"/>
    <mergeCell ref="AA20:AC20"/>
    <mergeCell ref="E22:F22"/>
    <mergeCell ref="B23:P23"/>
    <mergeCell ref="S23:AG23"/>
    <mergeCell ref="W20:Y20"/>
    <mergeCell ref="B43:P44"/>
    <mergeCell ref="F46:H46"/>
    <mergeCell ref="F34:H34"/>
    <mergeCell ref="J34:L34"/>
    <mergeCell ref="F33:H33"/>
    <mergeCell ref="J33:L33"/>
    <mergeCell ref="B37:P38"/>
    <mergeCell ref="F40:H40"/>
    <mergeCell ref="F17:H17"/>
    <mergeCell ref="J17:L17"/>
    <mergeCell ref="W17:Y17"/>
    <mergeCell ref="AA17:AC17"/>
    <mergeCell ref="U36:AE42"/>
    <mergeCell ref="U34:AE35"/>
    <mergeCell ref="F19:H19"/>
    <mergeCell ref="J19:L19"/>
    <mergeCell ref="W19:Y19"/>
    <mergeCell ref="AA19:AC19"/>
    <mergeCell ref="B30:P31"/>
    <mergeCell ref="T28:U28"/>
    <mergeCell ref="T25:U25"/>
    <mergeCell ref="T26:U26"/>
    <mergeCell ref="T27:U27"/>
    <mergeCell ref="F20:H20"/>
    <mergeCell ref="F18:H18"/>
    <mergeCell ref="J18:L18"/>
    <mergeCell ref="W18:Y18"/>
    <mergeCell ref="AA18:AC18"/>
    <mergeCell ref="B13:P13"/>
    <mergeCell ref="S13:AG13"/>
    <mergeCell ref="F14:L14"/>
    <mergeCell ref="W14:AC14"/>
    <mergeCell ref="F15:H15"/>
    <mergeCell ref="J15:L15"/>
    <mergeCell ref="W15:Y15"/>
    <mergeCell ref="AA15:AC15"/>
    <mergeCell ref="F16:H16"/>
    <mergeCell ref="J16:L16"/>
    <mergeCell ref="W16:Y16"/>
    <mergeCell ref="AA16:AC16"/>
    <mergeCell ref="B10:H11"/>
    <mergeCell ref="I10:P11"/>
    <mergeCell ref="I7:P8"/>
    <mergeCell ref="L1:V4"/>
    <mergeCell ref="Z7:AG8"/>
    <mergeCell ref="S10:Y11"/>
    <mergeCell ref="Z10:AG11"/>
    <mergeCell ref="S7:Y8"/>
    <mergeCell ref="B6:P6"/>
    <mergeCell ref="S6:AG6"/>
    <mergeCell ref="W2:AH3"/>
    <mergeCell ref="B7:H8"/>
  </mergeCells>
  <dataValidations count="1">
    <dataValidation type="whole" allowBlank="1" showInputMessage="1" showErrorMessage="1" error="Es muss eine ganze Zahl im Bereich von 0 bis 99 eingegeben werden." sqref="M15:M20 O46 AD15:AD20 AF15:AF20 O33:O34 M33:M34 M46 O15:O20 O40 M40">
      <formula1>0</formula1>
      <formula2>99</formula2>
    </dataValidation>
  </dataValidations>
  <pageMargins left="0.70000000000000007" right="0.70000000000000007" top="0.78740157500000008" bottom="0.78740157500000008" header="0.30000000000000004" footer="0.30000000000000004"/>
  <pageSetup paperSize="9" scale="55" orientation="landscape" r:id="rId1"/>
  <ignoredErrors>
    <ignoredError sqref="B25:B28 S25:S2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activeCell="N16" sqref="N16"/>
    </sheetView>
  </sheetViews>
  <sheetFormatPr defaultColWidth="11.44140625" defaultRowHeight="14.4" x14ac:dyDescent="0.3"/>
  <cols>
    <col min="1" max="1" width="11.44140625" style="3" customWidth="1"/>
    <col min="2" max="2" width="15.88671875" style="3" customWidth="1"/>
    <col min="3" max="3" width="6.109375" style="3" customWidth="1"/>
    <col min="4" max="4" width="5.5546875" style="3" customWidth="1"/>
    <col min="5" max="5" width="4.6640625" style="3" customWidth="1"/>
    <col min="6" max="6" width="5.44140625" style="3" customWidth="1"/>
    <col min="7" max="7" width="3.44140625" style="3" customWidth="1"/>
    <col min="8" max="8" width="3.6640625" style="3" customWidth="1"/>
    <col min="9" max="10" width="3.44140625" style="3" customWidth="1"/>
    <col min="11" max="11" width="7.33203125" style="3" customWidth="1"/>
    <col min="12" max="12" width="6.88671875" style="3" customWidth="1"/>
    <col min="13" max="16384" width="11.44140625" style="3"/>
  </cols>
  <sheetData>
    <row r="1" spans="1:12" x14ac:dyDescent="0.3">
      <c r="A1" s="3" t="s">
        <v>30</v>
      </c>
    </row>
    <row r="4" spans="1:12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x14ac:dyDescent="0.3">
      <c r="A5" s="3" t="s">
        <v>32</v>
      </c>
      <c r="B5" s="5" t="s">
        <v>31</v>
      </c>
      <c r="C5" s="6" t="s">
        <v>4</v>
      </c>
      <c r="D5" s="6" t="s">
        <v>5</v>
      </c>
      <c r="E5" s="6" t="s">
        <v>6</v>
      </c>
      <c r="F5" s="7" t="s">
        <v>7</v>
      </c>
      <c r="G5" s="5"/>
      <c r="H5" s="8" t="s">
        <v>8</v>
      </c>
      <c r="I5" s="5"/>
      <c r="J5" s="8" t="s">
        <v>9</v>
      </c>
      <c r="K5" s="5" t="s">
        <v>10</v>
      </c>
      <c r="L5" s="5" t="s">
        <v>33</v>
      </c>
    </row>
    <row r="6" spans="1:12" x14ac:dyDescent="0.3">
      <c r="A6" s="3">
        <f>IF(SUM(L$6:L$9)=4,1,IF(COUNTIF(L$6:L6,L6)&gt;1,L6+1,L6))</f>
        <v>1</v>
      </c>
      <c r="B6" s="9" t="s">
        <v>17</v>
      </c>
      <c r="C6" s="6">
        <f>COUNT(Tabelle!M15,Tabelle!M17,Tabelle!O19)</f>
        <v>0</v>
      </c>
      <c r="D6" s="6">
        <f>SUM(Ränge2!B4:D4)</f>
        <v>0</v>
      </c>
      <c r="E6" s="6">
        <f>SUM(Ränge2!E4:G4)</f>
        <v>0</v>
      </c>
      <c r="F6" s="6" t="str">
        <f>CONCATENATE(TEXT(C6-(D6+E6),0),"         ")</f>
        <v xml:space="preserve">0         </v>
      </c>
      <c r="G6" s="5">
        <f>SUM(Tabelle!M15,Tabelle!M17,Tabelle!O19)</f>
        <v>0</v>
      </c>
      <c r="H6" s="8" t="s">
        <v>12</v>
      </c>
      <c r="I6" s="5">
        <f>SUM(Tabelle!O15,Tabelle!O17,Tabelle!M19)</f>
        <v>0</v>
      </c>
      <c r="J6" s="8">
        <f>G6-I6</f>
        <v>0</v>
      </c>
      <c r="K6" s="8">
        <f>3*D6+E6</f>
        <v>0</v>
      </c>
      <c r="L6" s="8">
        <f>Ränge2!AO4</f>
        <v>1</v>
      </c>
    </row>
    <row r="7" spans="1:12" x14ac:dyDescent="0.3">
      <c r="A7" s="3">
        <f>IF(SUM(L$6:L$9)=4,2,IF(COUNTIF(L$6:L7,L7)&gt;1,L7+1,L7))</f>
        <v>2</v>
      </c>
      <c r="B7" s="9" t="s">
        <v>97</v>
      </c>
      <c r="C7" s="6">
        <f>COUNT(Tabelle!O15,Tabelle!O18,Tabelle!M20)</f>
        <v>0</v>
      </c>
      <c r="D7" s="6">
        <f>SUM(Ränge2!B5:D5)</f>
        <v>0</v>
      </c>
      <c r="E7" s="6">
        <f>SUM(Ränge2!E5:G5)</f>
        <v>0</v>
      </c>
      <c r="F7" s="6" t="str">
        <f>CONCATENATE(TEXT(C7-(D7+E7),0),"         ")</f>
        <v xml:space="preserve">0         </v>
      </c>
      <c r="G7" s="5">
        <f>SUM(Tabelle!O15,Tabelle!O18,Tabelle!M20)</f>
        <v>0</v>
      </c>
      <c r="H7" s="8" t="s">
        <v>12</v>
      </c>
      <c r="I7" s="5">
        <f>SUM(Tabelle!M15,Tabelle!M18,Tabelle!O20)</f>
        <v>0</v>
      </c>
      <c r="J7" s="8">
        <f>G7-I7</f>
        <v>0</v>
      </c>
      <c r="K7" s="8">
        <f>3*D7+E7</f>
        <v>0</v>
      </c>
      <c r="L7" s="8">
        <f>Ränge2!AO5</f>
        <v>1</v>
      </c>
    </row>
    <row r="8" spans="1:12" x14ac:dyDescent="0.3">
      <c r="A8" s="3">
        <f>IF(SUM(L$6:L$9)=4,3,IF(COUNTIF(L$6:L8,L8)&gt;1,L8+1,L8))</f>
        <v>3</v>
      </c>
      <c r="B8" s="9" t="s">
        <v>27</v>
      </c>
      <c r="C8" s="6">
        <f>COUNT(Tabelle!M16,Tabelle!O17,Tabelle!O20)</f>
        <v>0</v>
      </c>
      <c r="D8" s="6">
        <f>SUM(Ränge2!B6:D6)</f>
        <v>0</v>
      </c>
      <c r="E8" s="6">
        <f>SUM(Ränge2!E6:G6)</f>
        <v>0</v>
      </c>
      <c r="F8" s="6" t="str">
        <f>CONCATENATE(TEXT(C8-(D8+E8),0),"         ")</f>
        <v xml:space="preserve">0         </v>
      </c>
      <c r="G8" s="5">
        <f>SUM(Tabelle!M16,Tabelle!O17,Tabelle!O20)</f>
        <v>0</v>
      </c>
      <c r="H8" s="8" t="s">
        <v>12</v>
      </c>
      <c r="I8" s="5">
        <f>SUM(Tabelle!O16,Tabelle!M17,Tabelle!M20)</f>
        <v>0</v>
      </c>
      <c r="J8" s="8">
        <f>G8-I8</f>
        <v>0</v>
      </c>
      <c r="K8" s="8">
        <f>3*D8+E8</f>
        <v>0</v>
      </c>
      <c r="L8" s="8">
        <f>Ränge2!AO6</f>
        <v>1</v>
      </c>
    </row>
    <row r="9" spans="1:12" x14ac:dyDescent="0.3">
      <c r="A9" s="3">
        <f>IF(SUM(L$6:L$9)=4,4,IF(COUNTIF(L$6:L9,L9)&gt;1,L9+1,L9))</f>
        <v>4</v>
      </c>
      <c r="B9" s="9" t="s">
        <v>98</v>
      </c>
      <c r="C9" s="6">
        <f>COUNT(Tabelle!O16,Tabelle!M18,Tabelle!M19)</f>
        <v>0</v>
      </c>
      <c r="D9" s="6">
        <f>SUM(Ränge2!B7:D7)</f>
        <v>0</v>
      </c>
      <c r="E9" s="6">
        <f>SUM(Ränge2!E7:G7)</f>
        <v>0</v>
      </c>
      <c r="F9" s="6" t="str">
        <f>CONCATENATE(TEXT(C9-(D9+E9),0),"         ")</f>
        <v xml:space="preserve">0         </v>
      </c>
      <c r="G9" s="5">
        <f>SUM(Tabelle!O16,Tabelle!M18,Tabelle!M19)</f>
        <v>0</v>
      </c>
      <c r="H9" s="8" t="s">
        <v>12</v>
      </c>
      <c r="I9" s="5">
        <f>SUM(Tabelle!M16,Tabelle!O18,Tabelle!O19)</f>
        <v>0</v>
      </c>
      <c r="J9" s="8">
        <f>G9-I9</f>
        <v>0</v>
      </c>
      <c r="K9" s="8">
        <f>3*D9+E9</f>
        <v>0</v>
      </c>
      <c r="L9" s="8">
        <f>Ränge2!AO7</f>
        <v>1</v>
      </c>
    </row>
    <row r="10" spans="1:12" x14ac:dyDescent="0.3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x14ac:dyDescent="0.3">
      <c r="B11" s="9" t="s">
        <v>34</v>
      </c>
      <c r="C11" s="6" t="s">
        <v>4</v>
      </c>
      <c r="D11" s="6" t="s">
        <v>5</v>
      </c>
      <c r="E11" s="6" t="s">
        <v>6</v>
      </c>
      <c r="F11" s="7" t="s">
        <v>7</v>
      </c>
      <c r="G11" s="5"/>
      <c r="H11" s="8" t="s">
        <v>8</v>
      </c>
      <c r="I11" s="5"/>
      <c r="J11" s="8" t="s">
        <v>9</v>
      </c>
      <c r="K11" s="5" t="s">
        <v>10</v>
      </c>
      <c r="L11" s="5" t="s">
        <v>33</v>
      </c>
    </row>
    <row r="12" spans="1:12" x14ac:dyDescent="0.3">
      <c r="A12" s="3">
        <f>IF(SUM(L$12:L$15)=4,1,IF(COUNTIF(L$12:L12,L12)&gt;1,L12+1,L12))</f>
        <v>1</v>
      </c>
      <c r="B12" s="11" t="s">
        <v>99</v>
      </c>
      <c r="C12" s="8">
        <f>COUNT(Tabelle!AD15,Tabelle!AD17,Tabelle!AF19)</f>
        <v>0</v>
      </c>
      <c r="D12" s="6">
        <f>SUM(Ränge2!B10:D10)</f>
        <v>0</v>
      </c>
      <c r="E12" s="6">
        <f>SUM(Ränge2!E10:G10)</f>
        <v>0</v>
      </c>
      <c r="F12" s="6" t="str">
        <f>CONCATENATE(TEXT(C12-(D12+E12),0),"         ")</f>
        <v xml:space="preserve">0         </v>
      </c>
      <c r="G12" s="8">
        <f>SUM(Tabelle!AD15,Tabelle!AD17,Tabelle!AF19)</f>
        <v>0</v>
      </c>
      <c r="H12" s="8" t="s">
        <v>12</v>
      </c>
      <c r="I12" s="8">
        <f>SUM(Tabelle!AF15,Tabelle!AF17,Tabelle!AD19)</f>
        <v>0</v>
      </c>
      <c r="J12" s="8">
        <f>G12-I12</f>
        <v>0</v>
      </c>
      <c r="K12" s="8">
        <f>3*D12+E12</f>
        <v>0</v>
      </c>
      <c r="L12" s="8">
        <f>Ränge2!AO10</f>
        <v>1</v>
      </c>
    </row>
    <row r="13" spans="1:12" x14ac:dyDescent="0.3">
      <c r="A13" s="3">
        <f>IF(SUM(L$12:L$15)=4,2,IF(COUNTIF(L$12:L13,L13)&gt;1,L13+1,L13))</f>
        <v>2</v>
      </c>
      <c r="B13" s="11" t="s">
        <v>100</v>
      </c>
      <c r="C13" s="8">
        <f>COUNT(Tabelle!AF15,Tabelle!AF18,Tabelle!AD20)</f>
        <v>0</v>
      </c>
      <c r="D13" s="6">
        <f>SUM(Ränge2!B11:D11)</f>
        <v>0</v>
      </c>
      <c r="E13" s="6">
        <f>SUM(Ränge2!E11:G11)</f>
        <v>0</v>
      </c>
      <c r="F13" s="6" t="str">
        <f>CONCATENATE(TEXT(C13-(D13+E13),0),"         ")</f>
        <v xml:space="preserve">0         </v>
      </c>
      <c r="G13" s="8">
        <f>SUM(Tabelle!AF15,Tabelle!AF18,Tabelle!AD20)</f>
        <v>0</v>
      </c>
      <c r="H13" s="8" t="s">
        <v>12</v>
      </c>
      <c r="I13" s="8">
        <f>SUM(Tabelle!AD15,Tabelle!AD18,Tabelle!AF20)</f>
        <v>0</v>
      </c>
      <c r="J13" s="8">
        <f>G13-I13</f>
        <v>0</v>
      </c>
      <c r="K13" s="8">
        <f>3*D13+E13</f>
        <v>0</v>
      </c>
      <c r="L13" s="8">
        <f>Ränge2!AO11</f>
        <v>1</v>
      </c>
    </row>
    <row r="14" spans="1:12" x14ac:dyDescent="0.3">
      <c r="A14" s="3">
        <f>IF(SUM(L$12:L$15)=4,3,IF(COUNTIF(L$12:L14,L14)&gt;1,L14+1,L14))</f>
        <v>3</v>
      </c>
      <c r="B14" s="11" t="s">
        <v>101</v>
      </c>
      <c r="C14" s="8">
        <f>COUNT(Tabelle!AD16,Tabelle!AF17,Tabelle!AF20)</f>
        <v>0</v>
      </c>
      <c r="D14" s="6">
        <f>SUM(Ränge2!B12:D12)</f>
        <v>0</v>
      </c>
      <c r="E14" s="6">
        <f>SUM(Ränge2!E12:G12)</f>
        <v>0</v>
      </c>
      <c r="F14" s="6" t="str">
        <f>CONCATENATE(TEXT(C14-(D14+E14),0),"         ")</f>
        <v xml:space="preserve">0         </v>
      </c>
      <c r="G14" s="8">
        <f>SUM(Tabelle!AD16,Tabelle!AF17,Tabelle!AF20)</f>
        <v>0</v>
      </c>
      <c r="H14" s="8" t="s">
        <v>12</v>
      </c>
      <c r="I14" s="8">
        <f>SUM(Tabelle!AF16,Tabelle!AD17,Tabelle!AD20)</f>
        <v>0</v>
      </c>
      <c r="J14" s="8">
        <f>G14-I14</f>
        <v>0</v>
      </c>
      <c r="K14" s="8">
        <f>3*D14+E14</f>
        <v>0</v>
      </c>
      <c r="L14" s="8">
        <f>Ränge2!AO12</f>
        <v>1</v>
      </c>
    </row>
    <row r="15" spans="1:12" x14ac:dyDescent="0.3">
      <c r="A15" s="3">
        <f>IF(SUM(L$12:L$15)=4,4,IF(COUNTIF(L$12:L15,L15)&gt;1,L15+1,L15))</f>
        <v>4</v>
      </c>
      <c r="B15" s="11" t="s">
        <v>26</v>
      </c>
      <c r="C15" s="8">
        <f>COUNT(Tabelle!AF16,Tabelle!AD18,Tabelle!AD19)</f>
        <v>0</v>
      </c>
      <c r="D15" s="6">
        <f>SUM(Ränge2!B13:D13)</f>
        <v>0</v>
      </c>
      <c r="E15" s="6">
        <f>SUM(Ränge2!E13:G13)</f>
        <v>0</v>
      </c>
      <c r="F15" s="6" t="str">
        <f>CONCATENATE(TEXT(C15-(D15+E15),0),"         ")</f>
        <v xml:space="preserve">0         </v>
      </c>
      <c r="G15" s="8">
        <f>SUM(Tabelle!AF16,Tabelle!AD18,Tabelle!AD19)</f>
        <v>0</v>
      </c>
      <c r="H15" s="8" t="s">
        <v>12</v>
      </c>
      <c r="I15" s="8">
        <f>SUM(Tabelle!AD16,Tabelle!AF18,Tabelle!AF19)</f>
        <v>0</v>
      </c>
      <c r="J15" s="8">
        <f>G15-I15</f>
        <v>0</v>
      </c>
      <c r="K15" s="8">
        <f>3*D15+E15</f>
        <v>0</v>
      </c>
      <c r="L15" s="8">
        <f>Ränge2!AO13</f>
        <v>1</v>
      </c>
    </row>
    <row r="16" spans="1:12" ht="18" customHeight="1" x14ac:dyDescent="0.3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2:12" x14ac:dyDescent="0.3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2:12" x14ac:dyDescent="0.3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2:12" x14ac:dyDescent="0.3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2:12" x14ac:dyDescent="0.3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2:12" x14ac:dyDescent="0.3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2:12" x14ac:dyDescent="0.3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2:12" x14ac:dyDescent="0.3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2:12" x14ac:dyDescent="0.3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2" x14ac:dyDescent="0.3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2:12" x14ac:dyDescent="0.3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2" x14ac:dyDescent="0.3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2:12" x14ac:dyDescent="0.3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2:12" x14ac:dyDescent="0.3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2:12" x14ac:dyDescent="0.3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2:12" x14ac:dyDescent="0.3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2:12" x14ac:dyDescent="0.3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2:12" x14ac:dyDescent="0.3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2:12" x14ac:dyDescent="0.3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2:12" x14ac:dyDescent="0.3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2:12" x14ac:dyDescent="0.3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2:12" x14ac:dyDescent="0.3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2:12" x14ac:dyDescent="0.3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2:12" x14ac:dyDescent="0.3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2:12" x14ac:dyDescent="0.3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2:12" x14ac:dyDescent="0.3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2:12" x14ac:dyDescent="0.3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2:12" x14ac:dyDescent="0.3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</sheetData>
  <sheetProtection selectLockedCells="1" selectUnlockedCells="1"/>
  <pageMargins left="0.70000000000000007" right="0.70000000000000007" top="0.78740157500000008" bottom="0.78740157500000008" header="0.30000000000000004" footer="0.3000000000000000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45"/>
  <sheetViews>
    <sheetView workbookViewId="0">
      <selection activeCell="T4" sqref="T4:T9"/>
    </sheetView>
  </sheetViews>
  <sheetFormatPr defaultColWidth="11.5546875" defaultRowHeight="14.4" x14ac:dyDescent="0.3"/>
  <cols>
    <col min="1" max="1" width="11.44140625" customWidth="1"/>
    <col min="4" max="4" width="3.6640625" customWidth="1"/>
    <col min="5" max="6" width="3" customWidth="1"/>
    <col min="7" max="7" width="3.5546875" customWidth="1"/>
    <col min="8" max="8" width="3.109375" customWidth="1"/>
    <col min="9" max="9" width="5.21875" customWidth="1"/>
    <col min="10" max="10" width="3.6640625" customWidth="1"/>
    <col min="13" max="13" width="4.109375" customWidth="1"/>
    <col min="14" max="14" width="3.6640625" customWidth="1"/>
    <col min="15" max="15" width="4.44140625" customWidth="1"/>
  </cols>
  <sheetData>
    <row r="2" spans="1:28" x14ac:dyDescent="0.3">
      <c r="A2" s="3"/>
      <c r="B2" s="3" t="s">
        <v>35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x14ac:dyDescent="0.3">
      <c r="A3" s="3"/>
      <c r="B3" s="3"/>
      <c r="C3" s="3"/>
      <c r="D3" s="3" t="s">
        <v>36</v>
      </c>
      <c r="E3" s="3" t="s">
        <v>37</v>
      </c>
      <c r="F3" s="3" t="s">
        <v>38</v>
      </c>
      <c r="G3" s="3" t="s">
        <v>39</v>
      </c>
      <c r="H3" s="3" t="s">
        <v>40</v>
      </c>
      <c r="I3" s="3" t="s">
        <v>41</v>
      </c>
      <c r="J3" s="3" t="s">
        <v>42</v>
      </c>
      <c r="K3" s="3"/>
      <c r="L3" s="3"/>
      <c r="M3" s="3" t="s">
        <v>43</v>
      </c>
      <c r="N3" s="3" t="s">
        <v>44</v>
      </c>
      <c r="O3" s="3" t="s">
        <v>45</v>
      </c>
      <c r="P3" s="3" t="s">
        <v>46</v>
      </c>
      <c r="Q3" s="3" t="s">
        <v>47</v>
      </c>
      <c r="R3" s="3"/>
      <c r="S3" s="3"/>
      <c r="T3" s="3" t="s">
        <v>48</v>
      </c>
      <c r="U3" s="3"/>
      <c r="V3" s="3"/>
      <c r="W3" s="3"/>
      <c r="X3" s="3"/>
      <c r="Y3" s="3"/>
      <c r="Z3" s="3"/>
      <c r="AA3" s="3"/>
      <c r="AB3" s="3"/>
    </row>
    <row r="4" spans="1:28" x14ac:dyDescent="0.3">
      <c r="A4" s="3"/>
      <c r="B4" s="3" t="s">
        <v>17</v>
      </c>
      <c r="C4" s="3" t="s">
        <v>97</v>
      </c>
      <c r="D4" s="3">
        <f>(Ränge2!J4=Ränge2!J5)*1</f>
        <v>1</v>
      </c>
      <c r="E4" s="3">
        <f>(3*Ränge2!B4+1*Ränge2!E4)-(3*Ränge2!B5+1*Ränge2!E5)</f>
        <v>0</v>
      </c>
      <c r="F4" s="3">
        <f>(Ränge2!P4=Ränge2!P5)*1</f>
        <v>1</v>
      </c>
      <c r="G4" s="3">
        <f>Tabelle!M15-Tabelle!O15</f>
        <v>0</v>
      </c>
      <c r="H4" s="3">
        <f>(Ränge2!V4=Ränge2!V5)*1</f>
        <v>1</v>
      </c>
      <c r="I4" s="3">
        <f>Tabelle!M15</f>
        <v>0</v>
      </c>
      <c r="J4" s="3">
        <f>Tabelle!O15</f>
        <v>0</v>
      </c>
      <c r="K4" s="3"/>
      <c r="L4" s="9" t="s">
        <v>17</v>
      </c>
      <c r="M4" s="3">
        <f>$D4*E4+$D6*E6+$D8*E8*(-1)</f>
        <v>0</v>
      </c>
      <c r="N4" s="3">
        <f>$F4*G4+$F6*G6+$F8*G8*(-1)</f>
        <v>0</v>
      </c>
      <c r="O4" s="3">
        <f>$H4*I4+$H6*I6+$H8*J8</f>
        <v>0</v>
      </c>
      <c r="P4" s="3">
        <f>Gruppen!J6</f>
        <v>0</v>
      </c>
      <c r="Q4" s="3">
        <f>Gruppen!G6</f>
        <v>0</v>
      </c>
      <c r="R4" s="3"/>
      <c r="S4" s="3"/>
      <c r="T4" s="3" t="s">
        <v>49</v>
      </c>
      <c r="U4" s="3"/>
      <c r="V4" s="3"/>
      <c r="W4" s="3"/>
      <c r="X4" s="3"/>
      <c r="Y4" s="3"/>
      <c r="Z4" s="3"/>
      <c r="AA4" s="3"/>
      <c r="AB4" s="3"/>
    </row>
    <row r="5" spans="1:28" x14ac:dyDescent="0.3">
      <c r="A5" s="3"/>
      <c r="B5" s="3" t="s">
        <v>27</v>
      </c>
      <c r="C5" s="3" t="s">
        <v>98</v>
      </c>
      <c r="D5" s="3">
        <f>(Ränge2!J6=Ränge2!J7)*1</f>
        <v>1</v>
      </c>
      <c r="E5" s="3">
        <f>(3*Ränge2!B6+Ränge2!E6)-(3*Ränge2!B7+Ränge2!E7)</f>
        <v>0</v>
      </c>
      <c r="F5" s="3">
        <f>(Ränge2!P6=Ränge2!P7)*1</f>
        <v>1</v>
      </c>
      <c r="G5" s="3">
        <f>Tabelle!M16-Tabelle!O16</f>
        <v>0</v>
      </c>
      <c r="H5" s="3">
        <f>(Ränge2!V6=Ränge2!V7)*1</f>
        <v>1</v>
      </c>
      <c r="I5" s="3">
        <f>Tabelle!M16</f>
        <v>0</v>
      </c>
      <c r="J5" s="3">
        <f>Tabelle!O16</f>
        <v>0</v>
      </c>
      <c r="K5" s="3"/>
      <c r="L5" s="9" t="s">
        <v>97</v>
      </c>
      <c r="M5" s="3">
        <f>$D4*E4*(-1)+$D7*E7*(-1)+$D9*E9</f>
        <v>0</v>
      </c>
      <c r="N5" s="3">
        <f>$F4*G4*(-1)+$F7*G7*(-1)+$F9*G9</f>
        <v>0</v>
      </c>
      <c r="O5" s="3">
        <f>$H4*J4+$H7*I7*(-1)+$H9*I9</f>
        <v>0</v>
      </c>
      <c r="P5" s="3">
        <f>Gruppen!J7</f>
        <v>0</v>
      </c>
      <c r="Q5" s="3">
        <f>Gruppen!G7</f>
        <v>0</v>
      </c>
      <c r="R5" s="3"/>
      <c r="S5" s="3"/>
      <c r="T5" s="3" t="s">
        <v>50</v>
      </c>
      <c r="U5" s="3"/>
      <c r="V5" s="3"/>
      <c r="W5" s="3"/>
      <c r="X5" s="3"/>
      <c r="Y5" s="3"/>
      <c r="Z5" s="3"/>
      <c r="AA5" s="3"/>
      <c r="AB5" s="3"/>
    </row>
    <row r="6" spans="1:28" x14ac:dyDescent="0.3">
      <c r="A6" s="3"/>
      <c r="B6" s="3" t="s">
        <v>17</v>
      </c>
      <c r="C6" s="3" t="s">
        <v>27</v>
      </c>
      <c r="D6" s="3">
        <f>(Ränge2!J4=Ränge2!J6)*1</f>
        <v>1</v>
      </c>
      <c r="E6" s="3">
        <f>(3*Ränge2!C4+Ränge2!F4)-(3*Ränge2!C6+Ränge2!F6)</f>
        <v>0</v>
      </c>
      <c r="F6" s="3">
        <f>(Ränge2!P4=Ränge2!P6)*1</f>
        <v>1</v>
      </c>
      <c r="G6" s="3">
        <f>Tabelle!M17-Tabelle!O17</f>
        <v>0</v>
      </c>
      <c r="H6" s="3">
        <f>(Ränge2!V4=Ränge2!V6)*1</f>
        <v>1</v>
      </c>
      <c r="I6" s="3">
        <f>Tabelle!M17</f>
        <v>0</v>
      </c>
      <c r="J6" s="3">
        <f>Tabelle!O17</f>
        <v>0</v>
      </c>
      <c r="K6" s="3"/>
      <c r="L6" s="9" t="s">
        <v>27</v>
      </c>
      <c r="M6" s="3">
        <f>$D5*E5+$D6*E6*-1+$D9*E9*-1</f>
        <v>0</v>
      </c>
      <c r="N6" s="3">
        <f>$F5*G5+$F6*G6*-1+$F9*G9*-1</f>
        <v>0</v>
      </c>
      <c r="O6" s="3">
        <f>$H5*I5+$H6*J6+$H9*J9</f>
        <v>0</v>
      </c>
      <c r="P6" s="3">
        <f>Gruppen!J8</f>
        <v>0</v>
      </c>
      <c r="Q6" s="3">
        <f>Gruppen!G8</f>
        <v>0</v>
      </c>
      <c r="R6" s="3"/>
      <c r="S6" s="3"/>
      <c r="T6" s="3" t="s">
        <v>51</v>
      </c>
      <c r="U6" s="3"/>
      <c r="V6" s="3"/>
      <c r="W6" s="3"/>
      <c r="X6" s="3"/>
      <c r="Y6" s="3"/>
      <c r="Z6" s="3"/>
      <c r="AA6" s="3"/>
      <c r="AB6" s="3"/>
    </row>
    <row r="7" spans="1:28" x14ac:dyDescent="0.3">
      <c r="A7" s="3"/>
      <c r="B7" s="3" t="s">
        <v>98</v>
      </c>
      <c r="C7" s="3" t="s">
        <v>97</v>
      </c>
      <c r="D7" s="3">
        <f>(Ränge2!J5=Ränge2!J7)*1</f>
        <v>1</v>
      </c>
      <c r="E7" s="3">
        <f>(3*Ränge2!C7+Ränge2!F7)-(3*Ränge2!C5+Ränge2!F5)</f>
        <v>0</v>
      </c>
      <c r="F7" s="3">
        <f>(Ränge2!P5=Ränge2!P7)*1</f>
        <v>1</v>
      </c>
      <c r="G7" s="3">
        <f>Tabelle!M18-Tabelle!O18</f>
        <v>0</v>
      </c>
      <c r="H7" s="3">
        <f>(Ränge2!V5=Ränge2!V7)*1</f>
        <v>1</v>
      </c>
      <c r="I7" s="3">
        <f>Tabelle!M18</f>
        <v>0</v>
      </c>
      <c r="J7" s="3">
        <f>Tabelle!O18</f>
        <v>0</v>
      </c>
      <c r="K7" s="3"/>
      <c r="L7" s="9" t="s">
        <v>98</v>
      </c>
      <c r="M7" s="3">
        <f>$D5*E5*-1+$D7*E7+$D8*E8</f>
        <v>0</v>
      </c>
      <c r="N7" s="3">
        <f>$F5*G5*-1+$F7*G7+$F8*G8</f>
        <v>0</v>
      </c>
      <c r="O7" s="3">
        <f>$H5*J5+$H7*J7+$H8*I8</f>
        <v>0</v>
      </c>
      <c r="P7" s="3">
        <f>Gruppen!J9</f>
        <v>0</v>
      </c>
      <c r="Q7" s="3">
        <f>Gruppen!G9</f>
        <v>0</v>
      </c>
      <c r="R7" s="3"/>
      <c r="S7" s="3"/>
      <c r="T7" s="3" t="s">
        <v>52</v>
      </c>
      <c r="U7" s="3"/>
      <c r="V7" s="3"/>
      <c r="W7" s="3"/>
      <c r="X7" s="3"/>
      <c r="Y7" s="3"/>
      <c r="Z7" s="3"/>
      <c r="AA7" s="3"/>
      <c r="AB7" s="3"/>
    </row>
    <row r="8" spans="1:28" x14ac:dyDescent="0.3">
      <c r="A8" s="3"/>
      <c r="B8" s="3" t="s">
        <v>98</v>
      </c>
      <c r="C8" s="3" t="s">
        <v>17</v>
      </c>
      <c r="D8" s="3">
        <f>(Ränge2!J7=Ränge2!J4)*1</f>
        <v>1</v>
      </c>
      <c r="E8" s="3">
        <f>(3*Ränge2!D7+Ränge2!G7)-(3*Ränge2!D4+Ränge2!G4)</f>
        <v>0</v>
      </c>
      <c r="F8" s="3">
        <f>(Ränge2!P7=Ränge2!P4)*1</f>
        <v>1</v>
      </c>
      <c r="G8" s="3">
        <f>Tabelle!M19-Tabelle!O19</f>
        <v>0</v>
      </c>
      <c r="H8" s="3">
        <f>(Ränge2!V7=Ränge2!V4)*1</f>
        <v>1</v>
      </c>
      <c r="I8" s="3">
        <f>Tabelle!M19</f>
        <v>0</v>
      </c>
      <c r="J8" s="3">
        <f>Tabelle!O19</f>
        <v>0</v>
      </c>
      <c r="K8" s="3"/>
      <c r="L8" s="3"/>
      <c r="M8" s="3"/>
      <c r="N8" s="3"/>
      <c r="O8" s="3"/>
      <c r="P8" s="3"/>
      <c r="Q8" s="3"/>
      <c r="R8" s="3"/>
      <c r="S8" s="3"/>
      <c r="T8" s="3" t="s">
        <v>53</v>
      </c>
      <c r="U8" s="3"/>
      <c r="V8" s="3"/>
      <c r="W8" s="3"/>
      <c r="X8" s="3"/>
      <c r="Y8" s="3"/>
      <c r="Z8" s="3"/>
      <c r="AA8" s="3"/>
      <c r="AB8" s="3"/>
    </row>
    <row r="9" spans="1:28" x14ac:dyDescent="0.3">
      <c r="A9" s="3"/>
      <c r="B9" s="3" t="s">
        <v>97</v>
      </c>
      <c r="C9" s="3" t="s">
        <v>27</v>
      </c>
      <c r="D9" s="3">
        <f>(Ränge2!J5=Ränge2!J6)*1</f>
        <v>1</v>
      </c>
      <c r="E9" s="3">
        <f>(3*Ränge2!D5+Ränge2!G5)-(3*Ränge2!D6+Ränge2!G6)</f>
        <v>0</v>
      </c>
      <c r="F9" s="3">
        <f>(Ränge2!P5=Ränge2!P6)*1</f>
        <v>1</v>
      </c>
      <c r="G9" s="3">
        <f>Tabelle!M20-Tabelle!O20</f>
        <v>0</v>
      </c>
      <c r="H9" s="3">
        <f>(Ränge2!V5=Ränge2!V6)*1</f>
        <v>1</v>
      </c>
      <c r="I9" s="3">
        <f>Tabelle!M20</f>
        <v>0</v>
      </c>
      <c r="J9" s="3">
        <f>Tabelle!O20</f>
        <v>0</v>
      </c>
      <c r="K9" s="3"/>
      <c r="L9" s="3"/>
      <c r="M9" s="3" t="s">
        <v>43</v>
      </c>
      <c r="N9" s="3" t="s">
        <v>44</v>
      </c>
      <c r="O9" s="3" t="s">
        <v>45</v>
      </c>
      <c r="P9" s="3" t="s">
        <v>46</v>
      </c>
      <c r="Q9" s="3" t="s">
        <v>47</v>
      </c>
      <c r="R9" s="3"/>
      <c r="S9" s="3"/>
      <c r="T9" s="3" t="s">
        <v>54</v>
      </c>
      <c r="U9" s="3"/>
      <c r="V9" s="3"/>
      <c r="W9" s="3"/>
      <c r="X9" s="3"/>
      <c r="Y9" s="3"/>
      <c r="Z9" s="3"/>
      <c r="AA9" s="3"/>
      <c r="AB9" s="3"/>
    </row>
    <row r="10" spans="1:28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11" t="s">
        <v>99</v>
      </c>
      <c r="M10" s="3">
        <f>D12*E12+D14*E14+D16*E16*(-1)</f>
        <v>0</v>
      </c>
      <c r="N10" s="3">
        <f>F12*G12+F14*G14+F16*G16*(-1)</f>
        <v>0</v>
      </c>
      <c r="O10" s="3">
        <f>H12*I12+H14*I14+H16*J16</f>
        <v>0</v>
      </c>
      <c r="P10" s="3">
        <f>Gruppen!J12</f>
        <v>0</v>
      </c>
      <c r="Q10" s="3">
        <f>Gruppen!G12</f>
        <v>0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x14ac:dyDescent="0.3">
      <c r="A11" s="3"/>
      <c r="B11" s="3"/>
      <c r="C11" s="3"/>
      <c r="D11" s="3" t="s">
        <v>36</v>
      </c>
      <c r="E11" s="3" t="s">
        <v>37</v>
      </c>
      <c r="F11" s="3" t="s">
        <v>38</v>
      </c>
      <c r="G11" s="3" t="s">
        <v>39</v>
      </c>
      <c r="H11" s="3" t="s">
        <v>40</v>
      </c>
      <c r="I11" s="3" t="s">
        <v>41</v>
      </c>
      <c r="J11" s="3" t="s">
        <v>42</v>
      </c>
      <c r="K11" s="3"/>
      <c r="L11" s="11" t="s">
        <v>100</v>
      </c>
      <c r="M11" s="3">
        <f>D12*E12*(-1)+D15*E15*(-1)+D17*E17</f>
        <v>0</v>
      </c>
      <c r="N11" s="3">
        <f>F12*G12*(-1)+F15*G15*(-1)+F17*G17</f>
        <v>0</v>
      </c>
      <c r="O11" s="3">
        <f>H12*J12+H15*I15*(-1)+H17*I17</f>
        <v>0</v>
      </c>
      <c r="P11" s="3">
        <f>Gruppen!J13</f>
        <v>0</v>
      </c>
      <c r="Q11" s="3">
        <f>Gruppen!G13</f>
        <v>0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x14ac:dyDescent="0.3">
      <c r="A12" s="3"/>
      <c r="B12" s="3" t="s">
        <v>99</v>
      </c>
      <c r="C12" s="3" t="s">
        <v>100</v>
      </c>
      <c r="D12" s="3">
        <f>(Ränge2!J10=Ränge2!J11)*1</f>
        <v>1</v>
      </c>
      <c r="E12" s="3">
        <f>(3*Ränge2!B10+Ränge2!E10)-(3*Ränge2!B11+Ränge2!E11)</f>
        <v>0</v>
      </c>
      <c r="F12" s="3">
        <f>(Ränge2!P10=Ränge2!P11)*1</f>
        <v>1</v>
      </c>
      <c r="G12" s="3">
        <f>Tabelle!AD15-Tabelle!AF15</f>
        <v>0</v>
      </c>
      <c r="H12" s="3">
        <f>(Ränge2!V10=Ränge2!V11)*1</f>
        <v>1</v>
      </c>
      <c r="I12" s="3">
        <f>Tabelle!AD15</f>
        <v>0</v>
      </c>
      <c r="J12" s="3">
        <f>Tabelle!AF15</f>
        <v>0</v>
      </c>
      <c r="K12" s="3"/>
      <c r="L12" s="11" t="s">
        <v>101</v>
      </c>
      <c r="M12" s="3">
        <f>D13*E13+D14*E14*(-1)+D17*E17*(-1)</f>
        <v>0</v>
      </c>
      <c r="N12" s="3">
        <f>F13*G13+F14*G14*(-1)+F17*G17*(-1)</f>
        <v>0</v>
      </c>
      <c r="O12" s="3">
        <f>H13*I13+H14*J14+H17*J17</f>
        <v>0</v>
      </c>
      <c r="P12" s="3">
        <f>Gruppen!J14</f>
        <v>0</v>
      </c>
      <c r="Q12" s="3">
        <f>Gruppen!G14</f>
        <v>0</v>
      </c>
      <c r="R12" s="3"/>
      <c r="S12" s="3"/>
      <c r="T12" s="3" t="s">
        <v>115</v>
      </c>
      <c r="U12" s="3"/>
      <c r="V12" s="3"/>
      <c r="W12" s="3"/>
      <c r="X12" s="3"/>
      <c r="Y12" s="3"/>
      <c r="Z12" s="3"/>
      <c r="AA12" s="3"/>
      <c r="AB12" s="3"/>
    </row>
    <row r="13" spans="1:28" x14ac:dyDescent="0.3">
      <c r="A13" s="3"/>
      <c r="B13" s="3" t="s">
        <v>101</v>
      </c>
      <c r="C13" s="3" t="s">
        <v>26</v>
      </c>
      <c r="D13" s="3">
        <f>(Ränge2!J12=Ränge2!J13)*1</f>
        <v>1</v>
      </c>
      <c r="E13" s="3">
        <f>(3*Ränge2!B12+Ränge2!E12)-(3*Ränge2!B13+Ränge2!E13)</f>
        <v>0</v>
      </c>
      <c r="F13" s="3">
        <f>(Ränge2!P12=Ränge2!P13)*1</f>
        <v>1</v>
      </c>
      <c r="G13" s="3">
        <f>Tabelle!AD16-Tabelle!AF16</f>
        <v>0</v>
      </c>
      <c r="H13" s="3">
        <f>(Ränge2!V12=Ränge2!V13)*1</f>
        <v>1</v>
      </c>
      <c r="I13" s="3">
        <f>Tabelle!AD16</f>
        <v>0</v>
      </c>
      <c r="J13" s="3">
        <f>Tabelle!AF16</f>
        <v>0</v>
      </c>
      <c r="K13" s="3"/>
      <c r="L13" s="11" t="s">
        <v>26</v>
      </c>
      <c r="M13" s="3">
        <f>D13*E13*(-1)+D15*E15+D16*E16</f>
        <v>0</v>
      </c>
      <c r="N13" s="3">
        <f>F13*G13*(-1)+F15*G15+F16*G16</f>
        <v>0</v>
      </c>
      <c r="O13" s="3">
        <f>H13*J13+H15*J15+H16*I16</f>
        <v>0</v>
      </c>
      <c r="P13" s="3">
        <f>Gruppen!J15</f>
        <v>0</v>
      </c>
      <c r="Q13" s="3">
        <f>Gruppen!G15</f>
        <v>0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28" x14ac:dyDescent="0.3">
      <c r="A14" s="3"/>
      <c r="B14" s="3" t="s">
        <v>99</v>
      </c>
      <c r="C14" s="3" t="s">
        <v>101</v>
      </c>
      <c r="D14" s="3">
        <f>(Ränge2!J10=Ränge2!J12)*1</f>
        <v>1</v>
      </c>
      <c r="E14" s="3">
        <f>(3*Ränge2!C10+Ränge2!F10)-(3*Ränge2!C12+Ränge2!F12)</f>
        <v>0</v>
      </c>
      <c r="F14" s="3">
        <f>(Ränge2!P10=Ränge2!P12)*1</f>
        <v>1</v>
      </c>
      <c r="G14" s="3">
        <f>Tabelle!AD17-Tabelle!AF17</f>
        <v>0</v>
      </c>
      <c r="H14" s="3">
        <f>(Ränge2!V10=Ränge2!V12)*1</f>
        <v>1</v>
      </c>
      <c r="I14" s="3">
        <f>Tabelle!AD17</f>
        <v>0</v>
      </c>
      <c r="J14" s="3">
        <f>Tabelle!AF17</f>
        <v>0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 x14ac:dyDescent="0.3">
      <c r="A15" s="3"/>
      <c r="B15" s="3" t="s">
        <v>26</v>
      </c>
      <c r="C15" s="3" t="s">
        <v>100</v>
      </c>
      <c r="D15" s="3">
        <f>(Ränge2!J13=Ränge2!J11)*1</f>
        <v>1</v>
      </c>
      <c r="E15" s="3">
        <f>(3*Ränge2!C13+Ränge2!F13)-(3*Ränge2!C11+Ränge2!F11)</f>
        <v>0</v>
      </c>
      <c r="F15" s="3">
        <f>(Ränge2!P13=Ränge2!P11)*1</f>
        <v>1</v>
      </c>
      <c r="G15" s="3">
        <f>Tabelle!AD18-Tabelle!AF18</f>
        <v>0</v>
      </c>
      <c r="H15" s="3">
        <f>(Ränge2!V13=Ränge2!V11)*1</f>
        <v>1</v>
      </c>
      <c r="I15" s="3">
        <f>Tabelle!AD18</f>
        <v>0</v>
      </c>
      <c r="J15" s="3">
        <f>Tabelle!AF18</f>
        <v>0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8" x14ac:dyDescent="0.3">
      <c r="A16" s="3"/>
      <c r="B16" s="3" t="s">
        <v>26</v>
      </c>
      <c r="C16" s="3" t="s">
        <v>99</v>
      </c>
      <c r="D16" s="3">
        <f>(Ränge2!J13=Ränge2!J10)*1</f>
        <v>1</v>
      </c>
      <c r="E16" s="3">
        <f>(3*Ränge2!D13+Ränge2!G13)-(3*Ränge2!D10+Ränge2!G10)</f>
        <v>0</v>
      </c>
      <c r="F16" s="3">
        <f>(Ränge2!P13=Ränge2!P10)*1</f>
        <v>1</v>
      </c>
      <c r="G16" s="3">
        <f>Tabelle!AD19-Tabelle!AF19</f>
        <v>0</v>
      </c>
      <c r="H16" s="3">
        <f>(Ränge2!V13=Ränge2!V10)*1</f>
        <v>1</v>
      </c>
      <c r="I16" s="3">
        <f>Tabelle!AD19</f>
        <v>0</v>
      </c>
      <c r="J16" s="3">
        <f>Tabelle!AF19</f>
        <v>0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x14ac:dyDescent="0.3">
      <c r="A17" s="3"/>
      <c r="B17" s="3" t="s">
        <v>100</v>
      </c>
      <c r="C17" s="3" t="s">
        <v>101</v>
      </c>
      <c r="D17" s="3">
        <f>(Ränge2!J11=Ränge2!J12)*1</f>
        <v>1</v>
      </c>
      <c r="E17" s="3">
        <f>(3*Ränge2!D11+Ränge2!G11)-(3*Ränge2!D12+Ränge2!G12)</f>
        <v>0</v>
      </c>
      <c r="F17" s="3">
        <f>(Ränge2!P11=Ränge2!P12)*1</f>
        <v>1</v>
      </c>
      <c r="G17" s="3">
        <f>Tabelle!AD20-Tabelle!AF20</f>
        <v>0</v>
      </c>
      <c r="H17" s="3">
        <f>(Ränge2!V11=Ränge2!V12)*1</f>
        <v>1</v>
      </c>
      <c r="I17" s="3">
        <f>Tabelle!AD20</f>
        <v>0</v>
      </c>
      <c r="J17" s="3">
        <f>Tabelle!AF20</f>
        <v>0</v>
      </c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x14ac:dyDescent="0.3"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x14ac:dyDescent="0.3"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x14ac:dyDescent="0.3"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x14ac:dyDescent="0.3"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x14ac:dyDescent="0.3"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x14ac:dyDescent="0.3"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x14ac:dyDescent="0.3"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x14ac:dyDescent="0.3"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x14ac:dyDescent="0.3"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x14ac:dyDescent="0.3"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x14ac:dyDescent="0.3"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x14ac:dyDescent="0.3"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x14ac:dyDescent="0.3"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x14ac:dyDescent="0.3"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1:28" x14ac:dyDescent="0.3"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1:28" x14ac:dyDescent="0.3"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1:28" x14ac:dyDescent="0.3"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1:28" x14ac:dyDescent="0.3"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1:28" x14ac:dyDescent="0.3"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1:28" x14ac:dyDescent="0.3"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1:28" x14ac:dyDescent="0.3"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1:28" x14ac:dyDescent="0.3"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1:28" x14ac:dyDescent="0.3"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1:28" x14ac:dyDescent="0.3"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1:28" x14ac:dyDescent="0.3"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1:28" x14ac:dyDescent="0.3"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1:28" x14ac:dyDescent="0.3"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</sheetData>
  <pageMargins left="0.70000000000000007" right="0.70000000000000007" top="0.78740157500000008" bottom="0.78740157500000008" header="0.30000000000000004" footer="0.3000000000000000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"/>
  <sheetViews>
    <sheetView workbookViewId="0">
      <selection activeCell="L4" sqref="L4"/>
    </sheetView>
  </sheetViews>
  <sheetFormatPr defaultColWidth="11.44140625" defaultRowHeight="14.4" x14ac:dyDescent="0.3"/>
  <cols>
    <col min="1" max="1" width="15.44140625" style="3" customWidth="1"/>
    <col min="2" max="2" width="2.33203125" style="3" customWidth="1"/>
    <col min="3" max="4" width="2.5546875" style="3" customWidth="1"/>
    <col min="5" max="5" width="2.44140625" style="3" customWidth="1"/>
    <col min="6" max="6" width="2.5546875" style="3" customWidth="1"/>
    <col min="7" max="7" width="2.33203125" style="3" customWidth="1"/>
    <col min="8" max="10" width="11.44140625" style="3" customWidth="1"/>
    <col min="11" max="11" width="6.88671875" style="3" customWidth="1"/>
    <col min="12" max="12" width="9.44140625" style="3" customWidth="1"/>
    <col min="13" max="13" width="9" style="3" customWidth="1"/>
    <col min="14" max="16" width="11.44140625" style="3" customWidth="1"/>
    <col min="17" max="17" width="6.5546875" style="3" customWidth="1"/>
    <col min="18" max="18" width="11.44140625" style="3" customWidth="1"/>
    <col min="19" max="16384" width="11.44140625" style="3"/>
  </cols>
  <sheetData>
    <row r="1" spans="1:42" x14ac:dyDescent="0.3">
      <c r="A1" s="12"/>
      <c r="B1" s="13"/>
      <c r="C1" s="13"/>
      <c r="D1" s="13"/>
      <c r="E1" s="13"/>
      <c r="F1" s="13"/>
      <c r="G1" s="14"/>
      <c r="L1" s="3">
        <v>2</v>
      </c>
    </row>
    <row r="2" spans="1:42" x14ac:dyDescent="0.3">
      <c r="A2" s="15"/>
      <c r="B2" s="186" t="s">
        <v>55</v>
      </c>
      <c r="C2" s="186"/>
      <c r="D2" s="186"/>
      <c r="E2" s="3" t="s">
        <v>56</v>
      </c>
      <c r="G2" s="16"/>
      <c r="H2" s="17"/>
      <c r="K2" s="3" t="s">
        <v>57</v>
      </c>
    </row>
    <row r="3" spans="1:42" x14ac:dyDescent="0.3">
      <c r="A3" s="15" t="s">
        <v>3</v>
      </c>
      <c r="B3" s="18" t="s">
        <v>58</v>
      </c>
      <c r="C3" s="18" t="s">
        <v>59</v>
      </c>
      <c r="D3" s="18" t="s">
        <v>60</v>
      </c>
      <c r="E3" s="18" t="s">
        <v>58</v>
      </c>
      <c r="F3" s="18" t="s">
        <v>59</v>
      </c>
      <c r="G3" s="19" t="s">
        <v>60</v>
      </c>
      <c r="H3" s="17"/>
      <c r="I3" s="3" t="s">
        <v>3</v>
      </c>
      <c r="J3" s="3" t="s">
        <v>61</v>
      </c>
      <c r="K3" s="3" t="s">
        <v>62</v>
      </c>
      <c r="L3" s="3" t="s">
        <v>63</v>
      </c>
      <c r="M3" s="3" t="s">
        <v>64</v>
      </c>
      <c r="N3" s="3" t="s">
        <v>65</v>
      </c>
      <c r="O3" s="3" t="s">
        <v>66</v>
      </c>
      <c r="P3" s="3" t="s">
        <v>67</v>
      </c>
      <c r="Q3" s="3" t="s">
        <v>68</v>
      </c>
      <c r="R3" s="3" t="s">
        <v>69</v>
      </c>
      <c r="S3" s="3" t="s">
        <v>70</v>
      </c>
      <c r="T3" s="3" t="s">
        <v>71</v>
      </c>
      <c r="U3" s="3" t="s">
        <v>72</v>
      </c>
      <c r="V3" s="3" t="s">
        <v>73</v>
      </c>
      <c r="W3" s="3" t="s">
        <v>74</v>
      </c>
      <c r="X3" s="3" t="s">
        <v>75</v>
      </c>
      <c r="Y3" s="3" t="s">
        <v>76</v>
      </c>
      <c r="Z3" s="3" t="s">
        <v>77</v>
      </c>
      <c r="AA3" s="3" t="s">
        <v>78</v>
      </c>
      <c r="AB3" s="3" t="s">
        <v>79</v>
      </c>
      <c r="AC3" s="3" t="s">
        <v>80</v>
      </c>
      <c r="AD3" s="3" t="s">
        <v>81</v>
      </c>
      <c r="AE3" s="3" t="s">
        <v>82</v>
      </c>
      <c r="AF3" s="3" t="s">
        <v>83</v>
      </c>
      <c r="AG3" s="3" t="s">
        <v>84</v>
      </c>
      <c r="AH3" s="3" t="s">
        <v>85</v>
      </c>
      <c r="AI3" s="3" t="s">
        <v>86</v>
      </c>
      <c r="AJ3" s="3" t="s">
        <v>87</v>
      </c>
      <c r="AK3" s="3" t="s">
        <v>88</v>
      </c>
      <c r="AL3" s="3" t="s">
        <v>89</v>
      </c>
      <c r="AM3" s="3" t="s">
        <v>90</v>
      </c>
      <c r="AN3" s="3" t="s">
        <v>91</v>
      </c>
      <c r="AO3" s="3" t="s">
        <v>92</v>
      </c>
    </row>
    <row r="4" spans="1:42" x14ac:dyDescent="0.3">
      <c r="A4" s="15" t="s">
        <v>106</v>
      </c>
      <c r="B4" s="3">
        <f>IF(Tabelle!M15&gt;Tabelle!O15,1,0)</f>
        <v>0</v>
      </c>
      <c r="C4" s="3">
        <f>IF(Tabelle!M17&gt;Tabelle!O17,1,0)</f>
        <v>0</v>
      </c>
      <c r="D4" s="3">
        <f>IF(Tabelle!M19&lt;Tabelle!O19,1,0)</f>
        <v>0</v>
      </c>
      <c r="E4" s="3">
        <f>IF(AND(Tabelle!M15=Tabelle!O15,Tabelle!M15&lt;&gt;""),1,0)</f>
        <v>0</v>
      </c>
      <c r="F4" s="3">
        <f>IF(AND(Tabelle!M17=Tabelle!O17,Tabelle!M17&lt;&gt;""),1,0)</f>
        <v>0</v>
      </c>
      <c r="G4" s="16">
        <f>IF(AND(Tabelle!M19=Tabelle!O19,Tabelle!M19&lt;&gt;""),1,0)</f>
        <v>0</v>
      </c>
      <c r="H4" s="17"/>
      <c r="I4" s="3" t="s">
        <v>17</v>
      </c>
      <c r="J4" s="20">
        <f>_xlfn.RANK.EQ(Gruppen!K6,Gruppen!K$6:K$9,0)</f>
        <v>1</v>
      </c>
      <c r="K4" s="3">
        <f>IF(COUNTIF(J$4:J$7,J4)=1,"",1)</f>
        <v>1</v>
      </c>
      <c r="L4" s="3">
        <f>IF(K4=1,Ränge1!M4,"")</f>
        <v>0</v>
      </c>
      <c r="M4" s="3" t="str">
        <f>IF(K4=2,Ränge1!M4,"")</f>
        <v/>
      </c>
      <c r="N4" s="3">
        <f>IF(K4=1,_xlfn.RANK.EQ(L4,L$4:L$7),0)</f>
        <v>1</v>
      </c>
      <c r="O4" s="3">
        <f>IF(K4=2,_xlfn.RANK.EQ(M4,M$4:M$7),0)</f>
        <v>0</v>
      </c>
      <c r="P4" s="20">
        <f>IF(K4&lt;&gt;"",J4+N4+O4-1,J4)</f>
        <v>1</v>
      </c>
      <c r="Q4" s="3">
        <f>IF(COUNTIF(P$4:P$7,P4)=1,"",1)</f>
        <v>1</v>
      </c>
      <c r="R4" s="3">
        <f>IF(Q4=1,Ränge1!N4,"")</f>
        <v>0</v>
      </c>
      <c r="S4" s="3" t="str">
        <f>IF(Q4=2,Ränge1!N4,"")</f>
        <v/>
      </c>
      <c r="T4" s="3">
        <f>IF($Q4=1,_xlfn.RANK.EQ(R4,R$4:R$7),0)</f>
        <v>1</v>
      </c>
      <c r="U4" s="3">
        <f>IF($Q4=2,_xlfn.RANK.EQ(S4,S$4:S$7),0)</f>
        <v>0</v>
      </c>
      <c r="V4" s="20">
        <f>IF(Q4&lt;&gt;"",P4+T4+U4-1,P4)</f>
        <v>1</v>
      </c>
      <c r="W4" s="3">
        <f>IF(COUNTIF(V$4:V$7,V4)=1,"",1)</f>
        <v>1</v>
      </c>
      <c r="X4" s="3">
        <f>IF(W4=1,Ränge1!O4,"")</f>
        <v>0</v>
      </c>
      <c r="Y4" s="3" t="str">
        <f>IF(W4=2,Ränge1!O4,"")</f>
        <v/>
      </c>
      <c r="Z4" s="3">
        <f>IF($W4=1,_xlfn.RANK.EQ(X4,X$4:X$7),0)</f>
        <v>1</v>
      </c>
      <c r="AA4" s="3">
        <f>IF($W4=2,_xlfn.RANK.EQ(Y4,Y$4:Y$7),0)</f>
        <v>0</v>
      </c>
      <c r="AB4" s="20">
        <f>IF(W4&lt;&gt;"",V4+Z4+AA4-1,V4)</f>
        <v>1</v>
      </c>
      <c r="AC4" s="3">
        <f>IF(COUNTIF(AB$4:AB$7,AB4)=1,"",1)</f>
        <v>1</v>
      </c>
      <c r="AD4" s="3">
        <f>IF(AC4=1,Ränge1!P4,"")</f>
        <v>0</v>
      </c>
      <c r="AE4" s="3" t="str">
        <f>IF(AC4=2,Ränge1!P4,"")</f>
        <v/>
      </c>
      <c r="AF4" s="3">
        <f>IF($AC4=1,_xlfn.RANK.EQ(AD4,AD$4:AD$7),0)</f>
        <v>1</v>
      </c>
      <c r="AG4" s="3">
        <f>IF($AC4=2,_xlfn.RANK.EQ(AE4,AE$4:AE$7),0)</f>
        <v>0</v>
      </c>
      <c r="AH4" s="20">
        <f>IF(AC4&lt;&gt;"",AB4+AF4+AG4-1,AB4)</f>
        <v>1</v>
      </c>
      <c r="AI4" s="3">
        <f>IF(COUNTIF(AH$4:AH$7,AH4)=1,"",1)</f>
        <v>1</v>
      </c>
      <c r="AJ4" s="3">
        <f>IF($AI4=1,Ränge1!Q4,"")</f>
        <v>0</v>
      </c>
      <c r="AK4" s="3" t="str">
        <f>IF($AI4=2,Ränge1!Q4,"")</f>
        <v/>
      </c>
      <c r="AL4" s="3">
        <f>IF($AI4=1,_xlfn.RANK.EQ(AJ4,AJ$4:AJ$7),0)</f>
        <v>1</v>
      </c>
      <c r="AM4" s="3">
        <f>IF($AI4=2,_xlfn.RANK.EQ(AK4,AK$4:AK$7),0)</f>
        <v>0</v>
      </c>
      <c r="AN4" s="20">
        <f>IF(AI4&lt;&gt;"",AH4+AL4+AM4-1,AH4)</f>
        <v>1</v>
      </c>
      <c r="AO4" s="21">
        <f>AN4</f>
        <v>1</v>
      </c>
      <c r="AP4" s="3" t="s">
        <v>17</v>
      </c>
    </row>
    <row r="5" spans="1:42" x14ac:dyDescent="0.3">
      <c r="A5" s="15" t="s">
        <v>107</v>
      </c>
      <c r="B5" s="3">
        <f>IF(Tabelle!M15&lt;Tabelle!O15,1,0)</f>
        <v>0</v>
      </c>
      <c r="C5" s="3">
        <f>IF(Tabelle!M18&lt;Tabelle!O18,1,0)</f>
        <v>0</v>
      </c>
      <c r="D5" s="3">
        <f>IF(Tabelle!M20&gt;Tabelle!O20,1,0)</f>
        <v>0</v>
      </c>
      <c r="E5" s="3">
        <f>IF(AND(Tabelle!M15=Tabelle!O15,Tabelle!M15&lt;&gt;""),1,0)</f>
        <v>0</v>
      </c>
      <c r="F5" s="3">
        <f>IF(AND(Tabelle!M18=Tabelle!O18,Tabelle!M18&lt;&gt;""),1,0)</f>
        <v>0</v>
      </c>
      <c r="G5" s="16">
        <f>IF(AND(Tabelle!M20=Tabelle!O20,Tabelle!M20&lt;&gt;""),1,0)</f>
        <v>0</v>
      </c>
      <c r="H5" s="17"/>
      <c r="I5" s="3" t="s">
        <v>97</v>
      </c>
      <c r="J5" s="20">
        <f>_xlfn.RANK.EQ(Gruppen!K7,Gruppen!K$6:K$9,0)</f>
        <v>1</v>
      </c>
      <c r="K5" s="3">
        <f>IF(COUNTIF(J$4:J$7,J5)=1,"",IF(AND(COUNT(K$4)&gt;0,J$4&lt;&gt;J5),2,1))</f>
        <v>1</v>
      </c>
      <c r="L5" s="3">
        <f>IF(K5=1,Ränge1!M5,"")</f>
        <v>0</v>
      </c>
      <c r="M5" s="3" t="str">
        <f>IF(K5=2,Ränge1!M5,"")</f>
        <v/>
      </c>
      <c r="N5" s="3">
        <f>IF(K5=1,_xlfn.RANK.EQ(L5,L$4:L$7),0)</f>
        <v>1</v>
      </c>
      <c r="O5" s="3">
        <f>IF(K5=2,_xlfn.RANK.EQ(M5,M$4:M$7),0)</f>
        <v>0</v>
      </c>
      <c r="P5" s="20">
        <f>IF(K5&lt;&gt;"",J5+N5+O5-1,J5)</f>
        <v>1</v>
      </c>
      <c r="Q5" s="3">
        <f>IF(COUNTIF(P$4:P$7,P5)=1,"",IF(AND(COUNT(Q$4)&gt;0,P$4&lt;&gt;P5),2,1))</f>
        <v>1</v>
      </c>
      <c r="R5" s="3">
        <f>IF(Q5=1,Ränge1!N5,"")</f>
        <v>0</v>
      </c>
      <c r="S5" s="3" t="str">
        <f>IF(Q5=2,Ränge1!N5,"")</f>
        <v/>
      </c>
      <c r="T5" s="3">
        <f>IF($Q5=1,_xlfn.RANK.EQ(R5,R$4:R$7),0)</f>
        <v>1</v>
      </c>
      <c r="U5" s="3">
        <f>IF($Q5=2,_xlfn.RANK.EQ(S5,S$4:S$7),0)</f>
        <v>0</v>
      </c>
      <c r="V5" s="20">
        <f>IF(Q5&lt;&gt;"",P5+T5+U5-1,P5)</f>
        <v>1</v>
      </c>
      <c r="W5" s="3">
        <f>IF(COUNTIF(V$4:V$7,V5)=1,"",IF(AND(COUNT(W$4)&gt;0,V$4&lt;&gt;V5),2,1))</f>
        <v>1</v>
      </c>
      <c r="X5" s="3">
        <f>IF(W5=1,Ränge1!O5,"")</f>
        <v>0</v>
      </c>
      <c r="Y5" s="3" t="str">
        <f>IF(W5=2,Ränge1!O5,"")</f>
        <v/>
      </c>
      <c r="Z5" s="3">
        <f>IF($W5=1,_xlfn.RANK.EQ(X5,X$4:X$7),0)</f>
        <v>1</v>
      </c>
      <c r="AA5" s="3">
        <f>IF($W5=2,_xlfn.RANK.EQ(Y5,Y$4:Y$7),0)</f>
        <v>0</v>
      </c>
      <c r="AB5" s="20">
        <f>IF(W5&lt;&gt;"",V5+Z5+AA5-1,V5)</f>
        <v>1</v>
      </c>
      <c r="AC5" s="3">
        <f>IF(COUNTIF(AB$4:AB$7,AB5)=1,"",IF(AND(COUNT(AC$4)&gt;0,AB$4&lt;&gt;AB5),2,1))</f>
        <v>1</v>
      </c>
      <c r="AD5" s="3">
        <f>IF(AC5=1,Ränge1!P5,"")</f>
        <v>0</v>
      </c>
      <c r="AE5" s="3" t="str">
        <f>IF(AC5=2,Ränge1!P5,"")</f>
        <v/>
      </c>
      <c r="AF5" s="3">
        <f>IF($AC5=1,_xlfn.RANK.EQ(AD5,AD$4:AD$7),0)</f>
        <v>1</v>
      </c>
      <c r="AG5" s="3">
        <f>IF($AC5=2,_xlfn.RANK.EQ(AE5,AE$4:AE$7),0)</f>
        <v>0</v>
      </c>
      <c r="AH5" s="20">
        <f>IF(AC5&lt;&gt;"",AB5+AF5+AG5-1,AB5)</f>
        <v>1</v>
      </c>
      <c r="AI5" s="3">
        <f>IF(COUNTIF(AH$4:AH$7,AH5)=1,"",IF(AND(COUNT(AI$4)&gt;0,AH$4&lt;&gt;AH5),2,1))</f>
        <v>1</v>
      </c>
      <c r="AJ5" s="3">
        <f>IF($AI5=1,Ränge1!Q5,"")</f>
        <v>0</v>
      </c>
      <c r="AK5" s="3" t="str">
        <f>IF($AI5=2,Ränge1!Q5,"")</f>
        <v/>
      </c>
      <c r="AL5" s="3">
        <f>IF($AI5=1,_xlfn.RANK.EQ(AJ5,AJ$4:AJ$7),0)</f>
        <v>1</v>
      </c>
      <c r="AM5" s="3">
        <f>IF($AI5=2,_xlfn.RANK.EQ(AK5,AK$4:AK$7),0)</f>
        <v>0</v>
      </c>
      <c r="AN5" s="20">
        <f>IF(AI5&lt;&gt;"",AH5+AL5+AM5-1,AH5)</f>
        <v>1</v>
      </c>
      <c r="AO5" s="21">
        <f>AN5</f>
        <v>1</v>
      </c>
      <c r="AP5" s="3" t="s">
        <v>97</v>
      </c>
    </row>
    <row r="6" spans="1:42" x14ac:dyDescent="0.3">
      <c r="A6" s="15" t="s">
        <v>108</v>
      </c>
      <c r="B6" s="3">
        <f>IF(Tabelle!M16&gt;Tabelle!O16,1,0)</f>
        <v>0</v>
      </c>
      <c r="C6" s="3">
        <f>IF(Tabelle!M17&lt;Tabelle!O17,1,0)</f>
        <v>0</v>
      </c>
      <c r="D6" s="3">
        <f>IF(Tabelle!M20&lt;Tabelle!O20,1,0)</f>
        <v>0</v>
      </c>
      <c r="E6" s="3">
        <f>IF(AND(Tabelle!M16=Tabelle!O16,Tabelle!M16&lt;&gt;""),1,0)</f>
        <v>0</v>
      </c>
      <c r="F6" s="3">
        <f>IF(AND(Tabelle!M17=Tabelle!O17,Tabelle!M17&lt;&gt;""),1,0)</f>
        <v>0</v>
      </c>
      <c r="G6" s="16">
        <f>IF(AND(Tabelle!M20=Tabelle!O20,Tabelle!M20&lt;&gt;""),1,0)</f>
        <v>0</v>
      </c>
      <c r="H6" s="17"/>
      <c r="I6" s="3" t="s">
        <v>27</v>
      </c>
      <c r="J6" s="20">
        <f>_xlfn.RANK.EQ(Gruppen!K8,Gruppen!K$6:K$9,0)</f>
        <v>1</v>
      </c>
      <c r="K6" s="3">
        <f>IF(COUNTIF(J$4:J$7,J6)=1,"",IF(AND(COUNT(K$4)&gt;0,J$4&lt;&gt;J6),2,1))</f>
        <v>1</v>
      </c>
      <c r="L6" s="3">
        <f>IF(K6=1,Ränge1!M6,"")</f>
        <v>0</v>
      </c>
      <c r="M6" s="3" t="str">
        <f>IF(K6=2,Ränge1!M6,"")</f>
        <v/>
      </c>
      <c r="N6" s="3">
        <f>IF(K6=1,_xlfn.RANK.EQ(L6,L$4:L$7),0)</f>
        <v>1</v>
      </c>
      <c r="O6" s="3">
        <f>IF(K6=2,_xlfn.RANK.EQ(M6,M$4:M$7),0)</f>
        <v>0</v>
      </c>
      <c r="P6" s="20">
        <f>IF(K6&lt;&gt;"",J6+N6+O6-1,J6)</f>
        <v>1</v>
      </c>
      <c r="Q6" s="3">
        <f>IF(COUNTIF(P$4:P$7,P6)=1,"",IF(AND(COUNT(Q$4)&gt;0,P$4&lt;&gt;P6),2,1))</f>
        <v>1</v>
      </c>
      <c r="R6" s="3">
        <f>IF(Q6=1,Ränge1!N6,"")</f>
        <v>0</v>
      </c>
      <c r="S6" s="3" t="str">
        <f>IF(Q6=2,Ränge1!N6,"")</f>
        <v/>
      </c>
      <c r="T6" s="3">
        <f>IF($Q6=1,_xlfn.RANK.EQ(R6,R$4:R$7),0)</f>
        <v>1</v>
      </c>
      <c r="U6" s="3">
        <f>IF($Q6=2,_xlfn.RANK.EQ(S6,S$4:S$7),0)</f>
        <v>0</v>
      </c>
      <c r="V6" s="20">
        <f>IF(Q6&lt;&gt;"",P6+T6+U6-1,P6)</f>
        <v>1</v>
      </c>
      <c r="W6" s="3">
        <f>IF(COUNTIF(V$4:V$7,V6)=1,"",IF(AND(COUNT(W$4)&gt;0,V$4&lt;&gt;V6),2,1))</f>
        <v>1</v>
      </c>
      <c r="X6" s="3">
        <f>IF(W6=1,Ränge1!O6,"")</f>
        <v>0</v>
      </c>
      <c r="Y6" s="3" t="str">
        <f>IF(W6=2,Ränge1!O6,"")</f>
        <v/>
      </c>
      <c r="Z6" s="3">
        <f>IF($W6=1,_xlfn.RANK.EQ(X6,X$4:X$7),0)</f>
        <v>1</v>
      </c>
      <c r="AA6" s="3">
        <f>IF($W6=2,_xlfn.RANK.EQ(Y6,Y$4:Y$7),0)</f>
        <v>0</v>
      </c>
      <c r="AB6" s="20">
        <f>IF(W6&lt;&gt;"",V6+Z6+AA6-1,V6)</f>
        <v>1</v>
      </c>
      <c r="AC6" s="3">
        <f>IF(COUNTIF(AB$4:AB$7,AB6)=1,"",IF(AND(COUNT(AC$4)&gt;0,AB$4&lt;&gt;AB6),2,1))</f>
        <v>1</v>
      </c>
      <c r="AD6" s="3">
        <f>IF(AC6=1,Ränge1!P6,"")</f>
        <v>0</v>
      </c>
      <c r="AE6" s="3" t="str">
        <f>IF(AC6=2,Ränge1!P6,"")</f>
        <v/>
      </c>
      <c r="AF6" s="3">
        <f>IF($AC6=1,_xlfn.RANK.EQ(AD6,AD$4:AD$7),0)</f>
        <v>1</v>
      </c>
      <c r="AG6" s="3">
        <f>IF($AC6=2,_xlfn.RANK.EQ(AE6,AE$4:AE$7),0)</f>
        <v>0</v>
      </c>
      <c r="AH6" s="20">
        <f>IF(AC6&lt;&gt;"",AB6+AF6+AG6-1,AB6)</f>
        <v>1</v>
      </c>
      <c r="AI6" s="3">
        <f>IF(COUNTIF(AH$4:AH$7,AH6)=1,"",IF(AND(COUNT(AI$4)&gt;0,AH$4&lt;&gt;AH6),2,1))</f>
        <v>1</v>
      </c>
      <c r="AJ6" s="3">
        <f>IF($AI6=1,Ränge1!Q6,"")</f>
        <v>0</v>
      </c>
      <c r="AK6" s="3" t="str">
        <f>IF($AI6=2,Ränge1!Q6,"")</f>
        <v/>
      </c>
      <c r="AL6" s="3">
        <f>IF($AI6=1,_xlfn.RANK.EQ(AJ6,AJ$4:AJ$7),0)</f>
        <v>1</v>
      </c>
      <c r="AM6" s="3">
        <f>IF($AI6=2,_xlfn.RANK.EQ(AK6,AK$4:AK$7),0)</f>
        <v>0</v>
      </c>
      <c r="AN6" s="20">
        <f>IF(AI6&lt;&gt;"",AH6+AL6+AM6-1,AH6)</f>
        <v>1</v>
      </c>
      <c r="AO6" s="21">
        <f>AN6</f>
        <v>1</v>
      </c>
      <c r="AP6" s="3" t="s">
        <v>27</v>
      </c>
    </row>
    <row r="7" spans="1:42" x14ac:dyDescent="0.3">
      <c r="A7" s="15" t="s">
        <v>109</v>
      </c>
      <c r="B7" s="3">
        <f>IF(Tabelle!M16&lt;Tabelle!O16,1,0)</f>
        <v>0</v>
      </c>
      <c r="C7" s="3">
        <f>IF(Tabelle!M18&gt;Tabelle!O18,1,0)</f>
        <v>0</v>
      </c>
      <c r="D7" s="3">
        <f>IF(Tabelle!M19&gt;Tabelle!O19,1,0)</f>
        <v>0</v>
      </c>
      <c r="E7" s="3">
        <f>IF(AND(Tabelle!M16=Tabelle!O16,Tabelle!M16&lt;&gt;""),1,0)</f>
        <v>0</v>
      </c>
      <c r="F7" s="3">
        <f>IF(AND(Tabelle!M18=Tabelle!O18,Tabelle!M18&lt;&gt;""),1,0)</f>
        <v>0</v>
      </c>
      <c r="G7" s="16">
        <f>IF(AND(Tabelle!M19=Tabelle!O19,Tabelle!M19&lt;&gt;""),1,0)</f>
        <v>0</v>
      </c>
      <c r="H7" s="17"/>
      <c r="I7" s="3" t="s">
        <v>98</v>
      </c>
      <c r="J7" s="20">
        <f>_xlfn.RANK.EQ(Gruppen!K9,Gruppen!K$6:K$9,0)</f>
        <v>1</v>
      </c>
      <c r="K7" s="3">
        <f>IF(COUNTIF(J$4:J$7,J7)=1,"",IF(AND(COUNT(K$4)&gt;0,J$4&lt;&gt;J7),2,1))</f>
        <v>1</v>
      </c>
      <c r="L7" s="3">
        <f>IF(K7=1,Ränge1!M7,"")</f>
        <v>0</v>
      </c>
      <c r="M7" s="3" t="str">
        <f>IF(K7=2,Ränge1!M7,"")</f>
        <v/>
      </c>
      <c r="N7" s="3">
        <f>IF(K7=1,_xlfn.RANK.EQ(L7,L$4:L$7),0)</f>
        <v>1</v>
      </c>
      <c r="O7" s="3">
        <f>IF(K7=2,_xlfn.RANK.EQ(M7,M$4:M$7),0)</f>
        <v>0</v>
      </c>
      <c r="P7" s="20">
        <f>IF(K7&lt;&gt;"",J7+N7+O7-1,J7)</f>
        <v>1</v>
      </c>
      <c r="Q7" s="3">
        <f>IF(COUNTIF(P$4:P$7,P7)=1,"",IF(AND(COUNT(Q$4)&gt;0,P$4&lt;&gt;P7),2,1))</f>
        <v>1</v>
      </c>
      <c r="R7" s="3">
        <f>IF(Q7=1,Ränge1!N7,"")</f>
        <v>0</v>
      </c>
      <c r="S7" s="3" t="str">
        <f>IF(Q7=2,Ränge1!N7,"")</f>
        <v/>
      </c>
      <c r="T7" s="3">
        <f>IF($Q7=1,_xlfn.RANK.EQ(R7,R$4:R$7),0)</f>
        <v>1</v>
      </c>
      <c r="U7" s="3">
        <f>IF($Q7=2,_xlfn.RANK.EQ(S7,S$4:S$7),0)</f>
        <v>0</v>
      </c>
      <c r="V7" s="20">
        <f>IF(Q7&lt;&gt;"",P7+T7+U7-1,P7)</f>
        <v>1</v>
      </c>
      <c r="W7" s="3">
        <f>IF(COUNTIF(V$4:V$7,V7)=1,"",IF(AND(COUNT(W$4)&gt;0,V$4&lt;&gt;V7),2,1))</f>
        <v>1</v>
      </c>
      <c r="X7" s="3">
        <f>IF(W7=1,Ränge1!O7,"")</f>
        <v>0</v>
      </c>
      <c r="Y7" s="3" t="str">
        <f>IF(W7=2,Ränge1!O7,"")</f>
        <v/>
      </c>
      <c r="Z7" s="3">
        <f>IF($W7=1,_xlfn.RANK.EQ(X7,X$4:X$7),0)</f>
        <v>1</v>
      </c>
      <c r="AA7" s="3">
        <f>IF($W7=2,_xlfn.RANK.EQ(Y7,Y$4:Y$7),0)</f>
        <v>0</v>
      </c>
      <c r="AB7" s="20">
        <f>IF(W7&lt;&gt;"",V7+Z7+AA7-1,V7)</f>
        <v>1</v>
      </c>
      <c r="AC7" s="3">
        <f>IF(COUNTIF(AB$4:AB$7,AB7)=1,"",IF(AND(COUNT(AC$4)&gt;0,AB$4&lt;&gt;AB7),2,1))</f>
        <v>1</v>
      </c>
      <c r="AD7" s="3">
        <f>IF(AC7=1,Ränge1!P7,"")</f>
        <v>0</v>
      </c>
      <c r="AE7" s="3" t="str">
        <f>IF(AC7=2,Ränge1!P7,"")</f>
        <v/>
      </c>
      <c r="AF7" s="3">
        <f>IF($AC7=1,_xlfn.RANK.EQ(AD7,AD$4:AD$7),0)</f>
        <v>1</v>
      </c>
      <c r="AG7" s="3">
        <f>IF($AC7=2,_xlfn.RANK.EQ(AE7,AE$4:AE$7),0)</f>
        <v>0</v>
      </c>
      <c r="AH7" s="20">
        <f>IF(AC7&lt;&gt;"",AB7+AF7+AG7-1,AB7)</f>
        <v>1</v>
      </c>
      <c r="AI7" s="3">
        <f>IF(COUNTIF(AH$4:AH$7,AH7)=1,"",IF(AND(COUNT(AI$4)&gt;0,AH$4&lt;&gt;AH7),2,1))</f>
        <v>1</v>
      </c>
      <c r="AJ7" s="3">
        <f>IF($AI7=1,Ränge1!Q7,"")</f>
        <v>0</v>
      </c>
      <c r="AK7" s="3" t="str">
        <f>IF($AI7=2,Ränge1!Q7,"")</f>
        <v/>
      </c>
      <c r="AL7" s="3">
        <f>IF($AI7=1,_xlfn.RANK.EQ(AJ7,AJ$4:AJ$7),0)</f>
        <v>1</v>
      </c>
      <c r="AM7" s="3">
        <f>IF($AI7=2,_xlfn.RANK.EQ(AK7,AK$4:AK$7),0)</f>
        <v>0</v>
      </c>
      <c r="AN7" s="20">
        <f>IF(AI7&lt;&gt;"",AH7+AL7+AM7-1,AH7)</f>
        <v>1</v>
      </c>
      <c r="AO7" s="21">
        <f>AN7</f>
        <v>1</v>
      </c>
      <c r="AP7" s="3" t="s">
        <v>98</v>
      </c>
    </row>
    <row r="8" spans="1:42" x14ac:dyDescent="0.3">
      <c r="A8" s="15"/>
      <c r="G8" s="16"/>
      <c r="H8" s="17"/>
      <c r="K8" s="22"/>
      <c r="L8" s="22"/>
      <c r="M8" s="22"/>
      <c r="N8" s="22"/>
      <c r="O8" s="22"/>
      <c r="P8" s="22"/>
      <c r="Q8" s="22"/>
      <c r="Y8" s="3" t="str">
        <f>IF(W8=2,Ränge1!O8,"")</f>
        <v/>
      </c>
      <c r="AH8" s="23"/>
      <c r="AI8" s="24"/>
      <c r="AO8" s="24"/>
      <c r="AP8" s="23"/>
    </row>
    <row r="9" spans="1:42" x14ac:dyDescent="0.3">
      <c r="A9" s="15"/>
      <c r="G9" s="16"/>
      <c r="H9" s="17"/>
      <c r="J9" s="3" t="s">
        <v>61</v>
      </c>
      <c r="K9" s="3" t="s">
        <v>62</v>
      </c>
      <c r="L9" s="3" t="s">
        <v>63</v>
      </c>
      <c r="M9" s="3" t="s">
        <v>64</v>
      </c>
      <c r="N9" s="3" t="s">
        <v>65</v>
      </c>
      <c r="O9" s="3" t="s">
        <v>66</v>
      </c>
      <c r="P9" s="3" t="s">
        <v>67</v>
      </c>
      <c r="Q9" s="3" t="s">
        <v>68</v>
      </c>
      <c r="R9" s="3" t="s">
        <v>69</v>
      </c>
      <c r="S9" s="3" t="s">
        <v>70</v>
      </c>
      <c r="T9" s="3" t="s">
        <v>71</v>
      </c>
      <c r="U9" s="3" t="s">
        <v>72</v>
      </c>
      <c r="V9" s="3" t="s">
        <v>73</v>
      </c>
      <c r="W9" s="3" t="s">
        <v>74</v>
      </c>
      <c r="X9" s="3" t="s">
        <v>75</v>
      </c>
      <c r="Y9" s="3" t="s">
        <v>76</v>
      </c>
      <c r="Z9" s="3" t="s">
        <v>77</v>
      </c>
      <c r="AA9" s="3" t="s">
        <v>78</v>
      </c>
      <c r="AB9" s="3" t="s">
        <v>79</v>
      </c>
      <c r="AC9" s="3" t="s">
        <v>80</v>
      </c>
      <c r="AD9" s="3" t="s">
        <v>81</v>
      </c>
      <c r="AE9" s="3" t="s">
        <v>82</v>
      </c>
      <c r="AF9" s="3" t="s">
        <v>83</v>
      </c>
      <c r="AG9" s="3" t="s">
        <v>84</v>
      </c>
      <c r="AH9" s="3" t="s">
        <v>85</v>
      </c>
      <c r="AI9" s="3" t="s">
        <v>86</v>
      </c>
      <c r="AJ9" s="3" t="s">
        <v>87</v>
      </c>
      <c r="AK9" s="3" t="s">
        <v>88</v>
      </c>
      <c r="AL9" s="3" t="s">
        <v>89</v>
      </c>
      <c r="AM9" s="3" t="s">
        <v>90</v>
      </c>
      <c r="AN9" s="3" t="s">
        <v>91</v>
      </c>
      <c r="AO9" s="3" t="s">
        <v>92</v>
      </c>
    </row>
    <row r="10" spans="1:42" x14ac:dyDescent="0.3">
      <c r="A10" s="15" t="s">
        <v>110</v>
      </c>
      <c r="B10" s="3">
        <f>IF(Tabelle!AD15&gt;Tabelle!AF15,1,0)</f>
        <v>0</v>
      </c>
      <c r="C10" s="3">
        <f>IF(Tabelle!AD17&gt;Tabelle!AF17,1,0)</f>
        <v>0</v>
      </c>
      <c r="D10" s="3">
        <f>IF(Tabelle!AD19&lt;Tabelle!AF19,1,0)</f>
        <v>0</v>
      </c>
      <c r="E10" s="3">
        <f>IF(AND(Tabelle!AD15=Tabelle!AF15,Tabelle!AD15&lt;&gt;""),1,0)</f>
        <v>0</v>
      </c>
      <c r="F10" s="3">
        <f>IF(AND(Tabelle!AD17=Tabelle!AF17,Tabelle!AD17&lt;&gt;""),1,0)</f>
        <v>0</v>
      </c>
      <c r="G10" s="16">
        <f>IF(AND(Tabelle!AD19=Tabelle!AF19,Tabelle!AD19&lt;&gt;""),1,0)</f>
        <v>0</v>
      </c>
      <c r="H10" s="17"/>
      <c r="I10" s="3" t="s">
        <v>99</v>
      </c>
      <c r="J10" s="20">
        <f>_xlfn.RANK.EQ(Gruppen!K12,Gruppen!K$12:K$15,0)</f>
        <v>1</v>
      </c>
      <c r="K10" s="22">
        <f>IF(COUNTIF(J$10:J$13,J10)=1,"",1)</f>
        <v>1</v>
      </c>
      <c r="L10" s="3">
        <f>IF(K10=1,Ränge1!M10,"")</f>
        <v>0</v>
      </c>
      <c r="M10" s="3" t="str">
        <f>IF(K10=2,Ränge1!M10,"")</f>
        <v/>
      </c>
      <c r="N10" s="3">
        <f>IF(K10=1,_xlfn.RANK.EQ(L10,L$10:L$13),0)</f>
        <v>1</v>
      </c>
      <c r="O10" s="3">
        <f>IF(K10=2,_xlfn.RANK.EQ(M10,M$10:M$13),0)</f>
        <v>0</v>
      </c>
      <c r="P10" s="20">
        <f>IF(K10&lt;&gt;"",J10+N10+O10-1,J10)</f>
        <v>1</v>
      </c>
      <c r="Q10" s="3">
        <f>IF(COUNTIF(P$10:P$13,P10)=1,"",1)</f>
        <v>1</v>
      </c>
      <c r="R10" s="3">
        <f>IF(Q10=1,Ränge1!N10,"")</f>
        <v>0</v>
      </c>
      <c r="S10" s="3" t="str">
        <f>IF(Q10=2,Ränge1!N10,"")</f>
        <v/>
      </c>
      <c r="T10" s="3">
        <f>IF($Q10=1,_xlfn.RANK.EQ(R10,R$10:R$13),0)</f>
        <v>1</v>
      </c>
      <c r="U10" s="3">
        <f>IF($Q10=2,_xlfn.RANK.EQ(S10,S$10:S$13),0)</f>
        <v>0</v>
      </c>
      <c r="V10" s="20">
        <f>IF(Q10&lt;&gt;"",P10+T10+U10-1,P10)</f>
        <v>1</v>
      </c>
      <c r="W10" s="3">
        <f>IF(COUNTIF(V$10:V$13,V10)=1,"",1)</f>
        <v>1</v>
      </c>
      <c r="X10" s="3">
        <f>IF(W10=1,Ränge1!O10,"")</f>
        <v>0</v>
      </c>
      <c r="Y10" s="3" t="str">
        <f>IF(W10=2,Ränge1!O10,"")</f>
        <v/>
      </c>
      <c r="Z10" s="3">
        <f>IF($W10=1,_xlfn.RANK.EQ(X10,X$10:X$13),0)</f>
        <v>1</v>
      </c>
      <c r="AA10" s="3">
        <f>IF($W10=2,_xlfn.RANK.EQ(Y10,Y$10:Y$13),0)</f>
        <v>0</v>
      </c>
      <c r="AB10" s="20">
        <f>IF(W10&lt;&gt;"",V10+Z10+AA10-1,V10)</f>
        <v>1</v>
      </c>
      <c r="AC10" s="3">
        <f>IF(COUNTIF(AB$10:AB$13,AB10)=1,"",1)</f>
        <v>1</v>
      </c>
      <c r="AD10" s="3">
        <f>IF(AC10=1,Ränge1!P10,"")</f>
        <v>0</v>
      </c>
      <c r="AE10" s="3" t="str">
        <f>IF(AC10=2,Ränge1!P10,"")</f>
        <v/>
      </c>
      <c r="AF10" s="3">
        <f>IF($AC10=1,_xlfn.RANK.EQ(AD10,AD$10:AD$13),0)</f>
        <v>1</v>
      </c>
      <c r="AG10" s="3">
        <f>IF($AC10=2,_xlfn.RANK.EQ(AE10,AE$10:AE$13),0)</f>
        <v>0</v>
      </c>
      <c r="AH10" s="20">
        <f>IF(AC10&lt;&gt;"",AB10+AF10+AG10-1,AB10)</f>
        <v>1</v>
      </c>
      <c r="AI10" s="3">
        <f>IF(COUNTIF(AH$10:AH$13,AH10)=1,"",1)</f>
        <v>1</v>
      </c>
      <c r="AJ10" s="3">
        <f>IF($AI10=1,Ränge1!Q10,"")</f>
        <v>0</v>
      </c>
      <c r="AK10" s="3" t="str">
        <f>IF($AI10=2,Ränge1!Q10,"")</f>
        <v/>
      </c>
      <c r="AL10" s="3">
        <f>IF($AI10=1,_xlfn.RANK.EQ(AJ10,AJ$10:AJ$13),0)</f>
        <v>1</v>
      </c>
      <c r="AM10" s="3">
        <f>IF($AI10=2,_xlfn.RANK.EQ(AK10,AK$7:AK$13),0)</f>
        <v>0</v>
      </c>
      <c r="AN10" s="20">
        <f>IF(AI10&lt;&gt;"",AH10+AL10+AM10-1,AH10)</f>
        <v>1</v>
      </c>
      <c r="AO10" s="21">
        <f>AN10</f>
        <v>1</v>
      </c>
      <c r="AP10" s="3" t="s">
        <v>19</v>
      </c>
    </row>
    <row r="11" spans="1:42" x14ac:dyDescent="0.3">
      <c r="A11" s="15" t="s">
        <v>111</v>
      </c>
      <c r="B11" s="3">
        <f>IF(Tabelle!AD15&lt;Tabelle!AF15,1,0)</f>
        <v>0</v>
      </c>
      <c r="C11" s="3">
        <f>IF(Tabelle!AD18&lt;Tabelle!AF18,1,0)</f>
        <v>0</v>
      </c>
      <c r="D11" s="3">
        <f>IF(Tabelle!AD20&gt;Tabelle!AF20,1,0)</f>
        <v>0</v>
      </c>
      <c r="E11" s="3">
        <f>IF(AND(Tabelle!AD15=Tabelle!AF15,Tabelle!AD15&lt;&gt;""),1,0)</f>
        <v>0</v>
      </c>
      <c r="F11" s="3">
        <f>IF(AND(Tabelle!AD18=Tabelle!AF18,Tabelle!AD18&lt;&gt;""),1,0)</f>
        <v>0</v>
      </c>
      <c r="G11" s="16">
        <f>IF(AND(Tabelle!AD20=Tabelle!AF20,Tabelle!AD20&lt;&gt;""),1,0)</f>
        <v>0</v>
      </c>
      <c r="H11" s="17"/>
      <c r="I11" s="3" t="s">
        <v>100</v>
      </c>
      <c r="J11" s="20">
        <f>_xlfn.RANK.EQ(Gruppen!K13,Gruppen!K$12:K$15,0)</f>
        <v>1</v>
      </c>
      <c r="K11" s="22">
        <f>IF(COUNTIF(J$10:J$13,J11)=1,"",IF(AND(COUNT(K$10)&gt;0,J$10&lt;&gt;J11),2,1))</f>
        <v>1</v>
      </c>
      <c r="L11" s="3">
        <f>IF(K11=1,Ränge1!M11,"")</f>
        <v>0</v>
      </c>
      <c r="M11" s="3" t="str">
        <f>IF(K11=2,Ränge1!M11,"")</f>
        <v/>
      </c>
      <c r="N11" s="3">
        <f>IF(K11=1,_xlfn.RANK.EQ(L11,L$10:L$13),0)</f>
        <v>1</v>
      </c>
      <c r="O11" s="3">
        <f>IF(K11=2,_xlfn.RANK.EQ(M11,M$10:M$13),0)</f>
        <v>0</v>
      </c>
      <c r="P11" s="20">
        <f>IF(K11&lt;&gt;"",J11+N11+O11-1,J11)</f>
        <v>1</v>
      </c>
      <c r="Q11" s="3">
        <f>IF(COUNTIF(P$10:P$13,P11)=1,"",IF(AND(COUNT(Q$10)&gt;0,P$10&lt;&gt;P11),2,1))</f>
        <v>1</v>
      </c>
      <c r="R11" s="3">
        <f>IF(Q11=1,Ränge1!N11,"")</f>
        <v>0</v>
      </c>
      <c r="S11" s="3" t="str">
        <f>IF(Q11=2,Ränge1!N11,"")</f>
        <v/>
      </c>
      <c r="T11" s="3">
        <f>IF($Q11=1,_xlfn.RANK.EQ(R11,R$10:R$13),0)</f>
        <v>1</v>
      </c>
      <c r="U11" s="3">
        <f>IF($Q11=2,_xlfn.RANK.EQ(S11,S$10:S$13),0)</f>
        <v>0</v>
      </c>
      <c r="V11" s="20">
        <f>IF(Q11&lt;&gt;"",P11+T11+U11-1,P11)</f>
        <v>1</v>
      </c>
      <c r="W11" s="3">
        <f>IF(COUNTIF(V$10:V$13,V11)=1,"",IF(AND(COUNT(W$10)&gt;0,V$10&lt;&gt;V11),2,1))</f>
        <v>1</v>
      </c>
      <c r="X11" s="3">
        <f>IF(W11=1,Ränge1!O11,"")</f>
        <v>0</v>
      </c>
      <c r="Y11" s="3" t="str">
        <f>IF(W11=2,Ränge1!O11,"")</f>
        <v/>
      </c>
      <c r="Z11" s="3">
        <f>IF($W11=1,_xlfn.RANK.EQ(X11,X$10:X$13),0)</f>
        <v>1</v>
      </c>
      <c r="AA11" s="3">
        <f>IF($W11=2,_xlfn.RANK.EQ(Y11,Y$10:Y$13),0)</f>
        <v>0</v>
      </c>
      <c r="AB11" s="20">
        <f>IF(W11&lt;&gt;"",V11+Z11+AA11-1,V11)</f>
        <v>1</v>
      </c>
      <c r="AC11" s="3">
        <f>IF(COUNTIF(AB$10:AB$13,AB11)=1,"",IF(AND(COUNT(AC$10)&gt;0,AB$10&lt;&gt;AB11),2,1))</f>
        <v>1</v>
      </c>
      <c r="AD11" s="3">
        <f>IF(AC11=1,Ränge1!P11,"")</f>
        <v>0</v>
      </c>
      <c r="AE11" s="3" t="str">
        <f>IF(AC11=2,Ränge1!P11,"")</f>
        <v/>
      </c>
      <c r="AF11" s="3">
        <f>IF($AC11=1,_xlfn.RANK.EQ(AD11,AD$10:AD$13),0)</f>
        <v>1</v>
      </c>
      <c r="AG11" s="3">
        <f>IF($AC11=2,_xlfn.RANK.EQ(AE11,AE$10:AE$13),0)</f>
        <v>0</v>
      </c>
      <c r="AH11" s="20">
        <f>IF(AC11&lt;&gt;"",AB11+AF11+AG11-1,AB11)</f>
        <v>1</v>
      </c>
      <c r="AI11" s="3">
        <f>IF(COUNTIF(AH$10:AH$13,AH11)=1,"",IF(AND(COUNT(AI$10)&gt;0,AH$10&lt;&gt;AH11),2,1))</f>
        <v>1</v>
      </c>
      <c r="AJ11" s="3">
        <f>IF($AI11=1,Ränge1!Q11,"")</f>
        <v>0</v>
      </c>
      <c r="AK11" s="3" t="str">
        <f>IF($AI11=2,Ränge1!Q11,"")</f>
        <v/>
      </c>
      <c r="AL11" s="3">
        <f>IF($AI11=1,_xlfn.RANK.EQ(AJ11,AJ$10:AJ$13),0)</f>
        <v>1</v>
      </c>
      <c r="AM11" s="3">
        <f>IF($AI11=2,_xlfn.RANK.EQ(AK11,AK$7:AK$13),0)</f>
        <v>0</v>
      </c>
      <c r="AN11" s="20">
        <f>IF(AI11&lt;&gt;"",AH11+AL11+AM11-1,AH11)</f>
        <v>1</v>
      </c>
      <c r="AO11" s="21">
        <f>AN11</f>
        <v>1</v>
      </c>
      <c r="AP11" s="3" t="s">
        <v>17</v>
      </c>
    </row>
    <row r="12" spans="1:42" x14ac:dyDescent="0.3">
      <c r="A12" s="15" t="s">
        <v>112</v>
      </c>
      <c r="B12" s="3">
        <f>IF(Tabelle!AD16&gt;Tabelle!AF16,1,0)</f>
        <v>0</v>
      </c>
      <c r="C12" s="3">
        <f>IF(Tabelle!AD17&lt;Tabelle!AF17,1,0)</f>
        <v>0</v>
      </c>
      <c r="D12" s="3">
        <f>IF(Tabelle!AD20&lt;Tabelle!AF20,1,0)</f>
        <v>0</v>
      </c>
      <c r="E12" s="3">
        <f>IF(AND(Tabelle!AD16=Tabelle!AF16,Tabelle!AD16&lt;&gt;""),1,0)</f>
        <v>0</v>
      </c>
      <c r="F12" s="3">
        <f>IF(AND(Tabelle!AD17=Tabelle!AF17,Tabelle!AD17&lt;&gt;""),1,0)</f>
        <v>0</v>
      </c>
      <c r="G12" s="16">
        <f>IF(AND(Tabelle!AD20=Tabelle!AF20,Tabelle!AD20&lt;&gt;""),1,0)</f>
        <v>0</v>
      </c>
      <c r="H12" s="17"/>
      <c r="I12" s="3" t="s">
        <v>101</v>
      </c>
      <c r="J12" s="20">
        <f>_xlfn.RANK.EQ(Gruppen!K14,Gruppen!K$12:K$15,0)</f>
        <v>1</v>
      </c>
      <c r="K12" s="22">
        <f>IF(COUNTIF(J$10:J$13,J12)=1,"",IF(AND(COUNT(K$10)&gt;0,J$10&lt;&gt;J12),2,1))</f>
        <v>1</v>
      </c>
      <c r="L12" s="3">
        <f>IF(K12=1,Ränge1!M12,"")</f>
        <v>0</v>
      </c>
      <c r="M12" s="3" t="str">
        <f>IF(K12=2,Ränge1!M12,"")</f>
        <v/>
      </c>
      <c r="N12" s="3">
        <f>IF(K12=1,_xlfn.RANK.EQ(L12,L$10:L$13),0)</f>
        <v>1</v>
      </c>
      <c r="O12" s="3">
        <f>IF(K12=2,_xlfn.RANK.EQ(M12,M$10:M$13),0)</f>
        <v>0</v>
      </c>
      <c r="P12" s="20">
        <f>IF(K12&lt;&gt;"",J12+N12+O12-1,J12)</f>
        <v>1</v>
      </c>
      <c r="Q12" s="3">
        <f>IF(COUNTIF(P$10:P$13,P12)=1,"",IF(AND(COUNT(Q$10)&gt;0,P$10&lt;&gt;P12),2,1))</f>
        <v>1</v>
      </c>
      <c r="R12" s="3">
        <f>IF(Q12=1,Ränge1!N12,"")</f>
        <v>0</v>
      </c>
      <c r="S12" s="3" t="str">
        <f>IF(Q12=2,Ränge1!N12,"")</f>
        <v/>
      </c>
      <c r="T12" s="3">
        <f>IF($Q12=1,_xlfn.RANK.EQ(R12,R$10:R$13),0)</f>
        <v>1</v>
      </c>
      <c r="U12" s="3">
        <f>IF($Q12=2,_xlfn.RANK.EQ(S12,S$10:S$13),0)</f>
        <v>0</v>
      </c>
      <c r="V12" s="20">
        <f>IF(Q12&lt;&gt;"",P12+T12+U12-1,P12)</f>
        <v>1</v>
      </c>
      <c r="W12" s="3">
        <f>IF(COUNTIF(V$10:V$13,V12)=1,"",IF(AND(COUNT(W$10)&gt;0,V$10&lt;&gt;V12),2,1))</f>
        <v>1</v>
      </c>
      <c r="X12" s="3">
        <f>IF(W12=1,Ränge1!O12,"")</f>
        <v>0</v>
      </c>
      <c r="Y12" s="3" t="str">
        <f>IF(W12=2,Ränge1!O12,"")</f>
        <v/>
      </c>
      <c r="Z12" s="3">
        <f>IF($W12=1,_xlfn.RANK.EQ(X12,X$10:X$13),0)</f>
        <v>1</v>
      </c>
      <c r="AA12" s="3">
        <f>IF($W12=2,_xlfn.RANK.EQ(Y12,Y$10:Y$13),0)</f>
        <v>0</v>
      </c>
      <c r="AB12" s="20">
        <f>IF(W12&lt;&gt;"",V12+Z12+AA12-1,V12)</f>
        <v>1</v>
      </c>
      <c r="AC12" s="3">
        <f>IF(COUNTIF(AB$10:AB$13,AB12)=1,"",IF(AND(COUNT(AC$10)&gt;0,AB$10&lt;&gt;AB12),2,1))</f>
        <v>1</v>
      </c>
      <c r="AD12" s="3">
        <f>IF(AC12=1,Ränge1!P12,"")</f>
        <v>0</v>
      </c>
      <c r="AE12" s="3" t="str">
        <f>IF(AC12=2,Ränge1!P12,"")</f>
        <v/>
      </c>
      <c r="AF12" s="3">
        <f>IF($AC12=1,_xlfn.RANK.EQ(AD12,AD$10:AD$13),0)</f>
        <v>1</v>
      </c>
      <c r="AG12" s="3">
        <f>IF($AC12=2,_xlfn.RANK.EQ(AE12,AE$10:AE$13),0)</f>
        <v>0</v>
      </c>
      <c r="AH12" s="20">
        <f>IF(AC12&lt;&gt;"",AB12+AF12+AG12-1,AB12)</f>
        <v>1</v>
      </c>
      <c r="AI12" s="3">
        <f>IF(COUNTIF(AH$10:AH$13,AH12)=1,"",IF(AND(COUNT(AI$10)&gt;0,AH$10&lt;&gt;AH12),2,1))</f>
        <v>1</v>
      </c>
      <c r="AJ12" s="3">
        <f>IF($AI12=1,Ränge1!Q12,"")</f>
        <v>0</v>
      </c>
      <c r="AK12" s="3" t="str">
        <f>IF($AI12=2,Ränge1!Q12,"")</f>
        <v/>
      </c>
      <c r="AL12" s="3">
        <f>IF($AI12=1,_xlfn.RANK.EQ(AJ12,AJ$10:AJ$13),0)</f>
        <v>1</v>
      </c>
      <c r="AM12" s="3">
        <f>IF($AI12=2,_xlfn.RANK.EQ(AK12,AK$7:AK$13),0)</f>
        <v>0</v>
      </c>
      <c r="AN12" s="20">
        <f>IF(AI12&lt;&gt;"",AH12+AL12+AM12-1,AH12)</f>
        <v>1</v>
      </c>
      <c r="AO12" s="21">
        <f>AN12</f>
        <v>1</v>
      </c>
      <c r="AP12" s="3" t="s">
        <v>15</v>
      </c>
    </row>
    <row r="13" spans="1:42" x14ac:dyDescent="0.3">
      <c r="A13" s="15" t="s">
        <v>113</v>
      </c>
      <c r="B13" s="3">
        <f>IF(Tabelle!AD16&lt;Tabelle!AF16,1,0)</f>
        <v>0</v>
      </c>
      <c r="C13" s="3">
        <f>IF(Tabelle!AD18&gt;Tabelle!AF18,1,0)</f>
        <v>0</v>
      </c>
      <c r="D13" s="3">
        <f>IF(Tabelle!AD19&gt;Tabelle!AF19,1,0)</f>
        <v>0</v>
      </c>
      <c r="E13" s="3">
        <f>IF(AND(Tabelle!AD16=Tabelle!AF16,Tabelle!AD16&lt;&gt;""),1,0)</f>
        <v>0</v>
      </c>
      <c r="F13" s="3">
        <f>IF(AND(Tabelle!AD18=Tabelle!AF18,Tabelle!AF18&lt;&gt;""),1,0)</f>
        <v>0</v>
      </c>
      <c r="G13" s="16">
        <f>IF(AND(Tabelle!AD19=Tabelle!AF19,Tabelle!AD19&lt;&gt;""),1,0)</f>
        <v>0</v>
      </c>
      <c r="H13" s="17"/>
      <c r="I13" s="3" t="s">
        <v>26</v>
      </c>
      <c r="J13" s="20">
        <f>_xlfn.RANK.EQ(Gruppen!K15,Gruppen!K$12:K$15,0)</f>
        <v>1</v>
      </c>
      <c r="K13" s="22">
        <f>IF(COUNTIF(J$10:J$13,J13)=1,"",IF(AND(COUNT(K$10)&gt;0,J$10&lt;&gt;J13),2,1))</f>
        <v>1</v>
      </c>
      <c r="L13" s="3">
        <f>IF(K13=1,Ränge1!M13,"")</f>
        <v>0</v>
      </c>
      <c r="M13" s="3" t="str">
        <f>IF(K13=2,Ränge1!M13,"")</f>
        <v/>
      </c>
      <c r="N13" s="3">
        <f>IF(K13=1,_xlfn.RANK.EQ(L13,L$10:L$13),0)</f>
        <v>1</v>
      </c>
      <c r="O13" s="3">
        <f>IF(K13=2,_xlfn.RANK.EQ(M13,M$10:M$13),0)</f>
        <v>0</v>
      </c>
      <c r="P13" s="20">
        <f>IF(K13&lt;&gt;"",J13+N13+O13-1,J13)</f>
        <v>1</v>
      </c>
      <c r="Q13" s="3">
        <f>IF(COUNTIF(P$10:P$13,P13)=1,"",IF(AND(COUNT(Q$10)&gt;0,P$10&lt;&gt;P13),2,1))</f>
        <v>1</v>
      </c>
      <c r="R13" s="3">
        <f>IF(Q13=1,Ränge1!N13,"")</f>
        <v>0</v>
      </c>
      <c r="S13" s="3" t="str">
        <f>IF(Q13=2,Ränge1!N13,"")</f>
        <v/>
      </c>
      <c r="T13" s="3">
        <f>IF($Q13=1,_xlfn.RANK.EQ(R13,R$10:R$13),0)</f>
        <v>1</v>
      </c>
      <c r="U13" s="3">
        <f>IF($Q13=2,_xlfn.RANK.EQ(S13,S$10:S$13),0)</f>
        <v>0</v>
      </c>
      <c r="V13" s="20">
        <f>IF(Q13&lt;&gt;"",P13+T13+U13-1,P13)</f>
        <v>1</v>
      </c>
      <c r="W13" s="3">
        <f>IF(COUNTIF(V$10:V$13,V13)=1,"",IF(AND(COUNT(W$10)&gt;0,V$10&lt;&gt;V13),2,1))</f>
        <v>1</v>
      </c>
      <c r="X13" s="3">
        <f>IF(W13=1,Ränge1!O13,"")</f>
        <v>0</v>
      </c>
      <c r="Y13" s="3" t="str">
        <f>IF(W13=2,Ränge1!O13,"")</f>
        <v/>
      </c>
      <c r="Z13" s="3">
        <f>IF($W13=1,_xlfn.RANK.EQ(X13,X$10:X$13),0)</f>
        <v>1</v>
      </c>
      <c r="AA13" s="3">
        <f>IF($W13=2,_xlfn.RANK.EQ(Y13,Y$10:Y$13),0)</f>
        <v>0</v>
      </c>
      <c r="AB13" s="20">
        <f>IF(W13&lt;&gt;"",V13+Z13+AA13-1,V13)</f>
        <v>1</v>
      </c>
      <c r="AC13" s="3">
        <f>IF(COUNTIF(AB$10:AB$13,AB13)=1,"",IF(AND(COUNT(AC$10)&gt;0,AB$10&lt;&gt;AB13),2,1))</f>
        <v>1</v>
      </c>
      <c r="AD13" s="3">
        <f>IF(AC13=1,Ränge1!P13,"")</f>
        <v>0</v>
      </c>
      <c r="AE13" s="3" t="str">
        <f>IF(AC13=2,Ränge1!P13,"")</f>
        <v/>
      </c>
      <c r="AF13" s="3">
        <f>IF($AC13=1,_xlfn.RANK.EQ(AD13,AD$10:AD$13),0)</f>
        <v>1</v>
      </c>
      <c r="AG13" s="3">
        <f>IF($AC13=2,_xlfn.RANK.EQ(AE13,AE$10:AE$13),0)</f>
        <v>0</v>
      </c>
      <c r="AH13" s="20">
        <f>IF(AC13&lt;&gt;"",AB13+AF13+AG13-1,AB13)</f>
        <v>1</v>
      </c>
      <c r="AI13" s="3">
        <f>IF(COUNTIF(AH$10:AH$13,AH13)=1,"",IF(AND(COUNT(AI$10)&gt;0,AH$10&lt;&gt;AH13),2,1))</f>
        <v>1</v>
      </c>
      <c r="AJ13" s="3">
        <f>IF($AI13=1,Ränge1!Q13,"")</f>
        <v>0</v>
      </c>
      <c r="AK13" s="3" t="str">
        <f>IF($AI13=2,Ränge1!Q13,"")</f>
        <v/>
      </c>
      <c r="AL13" s="3">
        <f>IF($AI13=1,_xlfn.RANK.EQ(AJ13,AJ$10:AJ$13),0)</f>
        <v>1</v>
      </c>
      <c r="AM13" s="3">
        <f>IF($AI13=2,_xlfn.RANK.EQ(AK13,AK$7:AK$13),0)</f>
        <v>0</v>
      </c>
      <c r="AN13" s="20">
        <f>IF(AI13&lt;&gt;"",AH13+AL13+AM13-1,AH13)</f>
        <v>1</v>
      </c>
      <c r="AO13" s="21">
        <f>AN13</f>
        <v>1</v>
      </c>
      <c r="AP13" s="3" t="s">
        <v>13</v>
      </c>
    </row>
    <row r="14" spans="1:42" x14ac:dyDescent="0.3">
      <c r="A14" s="15"/>
      <c r="G14" s="16"/>
      <c r="H14" s="17"/>
      <c r="K14" s="22"/>
    </row>
    <row r="15" spans="1:42" x14ac:dyDescent="0.3">
      <c r="A15" s="15"/>
      <c r="G15" s="16"/>
      <c r="H15" s="17"/>
    </row>
    <row r="19" spans="1:1" x14ac:dyDescent="0.3">
      <c r="A19" s="11"/>
    </row>
    <row r="20" spans="1:1" x14ac:dyDescent="0.3">
      <c r="A20" s="11"/>
    </row>
    <row r="21" spans="1:1" x14ac:dyDescent="0.3">
      <c r="A21" s="11"/>
    </row>
    <row r="22" spans="1:1" x14ac:dyDescent="0.3">
      <c r="A22" s="11"/>
    </row>
  </sheetData>
  <sheetProtection selectLockedCells="1" selectUnlockedCells="1"/>
  <mergeCells count="1">
    <mergeCell ref="B2:D2"/>
  </mergeCells>
  <pageMargins left="0.70000000000000007" right="0.70000000000000007" top="0.78740157500000008" bottom="0.78740157500000008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Tabelle</vt:lpstr>
      <vt:lpstr>Gruppen</vt:lpstr>
      <vt:lpstr>Ränge1</vt:lpstr>
      <vt:lpstr>Ränge2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T</dc:creator>
  <cp:lastModifiedBy>Sinead</cp:lastModifiedBy>
  <cp:lastPrinted>2017-03-13T10:25:51Z</cp:lastPrinted>
  <dcterms:created xsi:type="dcterms:W3CDTF">2016-01-12T18:27:30Z</dcterms:created>
  <dcterms:modified xsi:type="dcterms:W3CDTF">2017-05-04T11:38:16Z</dcterms:modified>
</cp:coreProperties>
</file>